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645" yWindow="1515" windowWidth="25500" windowHeight="15105" tabRatio="633"/>
  </bookViews>
  <sheets>
    <sheet name="early retirement" sheetId="45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1" i="45" l="1"/>
  <c r="M9" i="45" l="1"/>
  <c r="N28" i="45" l="1"/>
  <c r="J28" i="45"/>
  <c r="N12" i="45"/>
  <c r="N13" i="45"/>
  <c r="N14" i="45"/>
  <c r="N15" i="45"/>
  <c r="N16" i="45"/>
  <c r="N17" i="45"/>
  <c r="N18" i="45"/>
  <c r="N19" i="45"/>
  <c r="N20" i="45"/>
  <c r="N21" i="45"/>
  <c r="N22" i="45"/>
  <c r="N23" i="45"/>
  <c r="N24" i="45"/>
  <c r="N25" i="45"/>
  <c r="N26" i="45"/>
  <c r="N27" i="45"/>
  <c r="J12" i="45"/>
  <c r="J13" i="45"/>
  <c r="J14" i="45"/>
  <c r="J15" i="45"/>
  <c r="J16" i="45"/>
  <c r="J17" i="45"/>
  <c r="J19" i="45"/>
  <c r="J20" i="45"/>
  <c r="J21" i="45"/>
  <c r="J22" i="45"/>
  <c r="J23" i="45"/>
  <c r="J24" i="45"/>
  <c r="J25" i="45"/>
  <c r="J26" i="45"/>
  <c r="J27" i="45"/>
  <c r="I18" i="45"/>
  <c r="C20" i="45"/>
  <c r="F13" i="45"/>
  <c r="F14" i="45" s="1"/>
  <c r="F15" i="45" s="1"/>
  <c r="F16" i="45" s="1"/>
  <c r="F17" i="45" s="1"/>
  <c r="F18" i="45" s="1"/>
  <c r="F19" i="45" s="1"/>
  <c r="F20" i="45" s="1"/>
  <c r="F21" i="45" s="1"/>
  <c r="F22" i="45" s="1"/>
  <c r="F23" i="45" s="1"/>
  <c r="F24" i="45" s="1"/>
  <c r="F25" i="45" s="1"/>
  <c r="F26" i="45" s="1"/>
  <c r="F27" i="45" s="1"/>
  <c r="F28" i="45" s="1"/>
  <c r="F29" i="45" s="1"/>
  <c r="F30" i="45" s="1"/>
  <c r="F31" i="45" s="1"/>
  <c r="C8" i="45"/>
  <c r="J18" i="45" l="1"/>
  <c r="I9" i="45"/>
  <c r="F32" i="45"/>
  <c r="C22" i="45"/>
  <c r="I3" i="45"/>
  <c r="I4" i="45" s="1"/>
  <c r="C13" i="45"/>
  <c r="C14" i="45" s="1"/>
  <c r="E13" i="45"/>
  <c r="E14" i="45" s="1"/>
  <c r="E15" i="45" s="1"/>
  <c r="E16" i="45" s="1"/>
  <c r="E17" i="45" s="1"/>
  <c r="E18" i="45" s="1"/>
  <c r="E19" i="45" s="1"/>
  <c r="E20" i="45" s="1"/>
  <c r="E21" i="45" s="1"/>
  <c r="E22" i="45" s="1"/>
  <c r="E23" i="45" s="1"/>
  <c r="E24" i="45" s="1"/>
  <c r="E25" i="45" s="1"/>
  <c r="E26" i="45" s="1"/>
  <c r="E27" i="45" s="1"/>
  <c r="E28" i="45" s="1"/>
  <c r="E29" i="45" s="1"/>
  <c r="E30" i="45" s="1"/>
  <c r="E31" i="45" s="1"/>
  <c r="E32" i="45" s="1"/>
  <c r="C10" i="45"/>
  <c r="C24" i="45"/>
  <c r="F10" i="45" l="1"/>
  <c r="N9" i="45"/>
  <c r="J9" i="45"/>
  <c r="I5" i="45" l="1"/>
  <c r="I6" i="45"/>
</calcChain>
</file>

<file path=xl/sharedStrings.xml><?xml version="1.0" encoding="utf-8"?>
<sst xmlns="http://schemas.openxmlformats.org/spreadsheetml/2006/main" count="65" uniqueCount="50">
  <si>
    <t>Brokerage</t>
  </si>
  <si>
    <t>SEP IRA</t>
  </si>
  <si>
    <t>INVESTMENTS</t>
  </si>
  <si>
    <t>withdrawal rate:</t>
  </si>
  <si>
    <t>retire now (yearly):</t>
  </si>
  <si>
    <t>retire now (monthly):</t>
  </si>
  <si>
    <t>EXPENSES (currently)</t>
  </si>
  <si>
    <t>yearly:</t>
  </si>
  <si>
    <t>monthly:</t>
  </si>
  <si>
    <t>needed to retire early:</t>
  </si>
  <si>
    <t>INVESTMENTS (growth over time)</t>
  </si>
  <si>
    <t>return rate:</t>
  </si>
  <si>
    <t>ROTH IRA: J$</t>
  </si>
  <si>
    <t>ROTH IRA: Mrs J$</t>
  </si>
  <si>
    <t>yearly add'l investment:</t>
  </si>
  <si>
    <t>After-tax Income</t>
  </si>
  <si>
    <t>Savings Rate</t>
  </si>
  <si>
    <t>Expenses (monthly)</t>
  </si>
  <si>
    <t>Daycare</t>
  </si>
  <si>
    <t>Groceries</t>
  </si>
  <si>
    <t>Dining out</t>
  </si>
  <si>
    <t>Health Insurance</t>
  </si>
  <si>
    <t>Car payment</t>
  </si>
  <si>
    <t>Gas</t>
  </si>
  <si>
    <t>Utilties</t>
  </si>
  <si>
    <t>Clothing</t>
  </si>
  <si>
    <t>Personal Care</t>
  </si>
  <si>
    <t>Alcohol</t>
  </si>
  <si>
    <t>Expenses (In Retirement)</t>
  </si>
  <si>
    <t>Housing (no mortgage)</t>
  </si>
  <si>
    <t>Travel</t>
  </si>
  <si>
    <t>Vacations</t>
  </si>
  <si>
    <t>Life insurance</t>
  </si>
  <si>
    <t>Car insurance</t>
  </si>
  <si>
    <t>Car Insurance</t>
  </si>
  <si>
    <t>Misc</t>
  </si>
  <si>
    <t>$ if FI</t>
  </si>
  <si>
    <t>Cell phone</t>
  </si>
  <si>
    <t>Blog hosting fees</t>
  </si>
  <si>
    <t>Years to FI</t>
  </si>
  <si>
    <t>Housing (interest part only)</t>
  </si>
  <si>
    <t>(should also included principle portion of mortgage, if any)</t>
  </si>
  <si>
    <t>Accelerate FI by reducing monthly spending</t>
  </si>
  <si>
    <t>$/day:</t>
  </si>
  <si>
    <t>Hourly income from $:</t>
  </si>
  <si>
    <t>Early Retirement Spreadsheet</t>
  </si>
  <si>
    <t>Age Now</t>
  </si>
  <si>
    <t>Age When Hit E.R.</t>
  </si>
  <si>
    <t>BUDGET</t>
  </si>
  <si>
    <t>E/R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</si>
</sst>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&quot;$&quot;#,##0.00"/>
    <numFmt numFmtId="165" formatCode="0.0%"/>
    <numFmt numFmtId="166" formatCode="0.0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30"/>
      <color theme="3" tint="0.39997558519241921"/>
      <name val="Batang"/>
      <family val="1"/>
    </font>
    <font>
      <sz val="10"/>
      <color rgb="FF000000"/>
      <name val="Candara"/>
      <family val="2"/>
    </font>
    <font>
      <b/>
      <sz val="11"/>
      <color rgb="FF000000"/>
      <name val="Candara"/>
      <family val="2"/>
    </font>
    <font>
      <b/>
      <sz val="14"/>
      <color theme="3" tint="0.39997558519241921"/>
      <name val="Candara"/>
      <family val="2"/>
    </font>
    <font>
      <sz val="14"/>
      <color theme="3" tint="0.39997558519241921"/>
      <name val="Candara"/>
      <family val="2"/>
    </font>
    <font>
      <sz val="11"/>
      <color rgb="FF000000"/>
      <name val="Candara"/>
      <family val="2"/>
    </font>
    <font>
      <b/>
      <sz val="12"/>
      <color rgb="FF000000"/>
      <name val="Candar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ck">
        <color theme="3" tint="0.39994506668294322"/>
      </left>
      <right/>
      <top style="thick">
        <color theme="3" tint="0.39994506668294322"/>
      </top>
      <bottom style="thick">
        <color theme="3" tint="0.39994506668294322"/>
      </bottom>
      <diagonal/>
    </border>
    <border>
      <left/>
      <right/>
      <top style="thick">
        <color theme="3" tint="0.39994506668294322"/>
      </top>
      <bottom style="thick">
        <color theme="3" tint="0.39994506668294322"/>
      </bottom>
      <diagonal/>
    </border>
    <border>
      <left/>
      <right style="thick">
        <color theme="3" tint="0.39994506668294322"/>
      </right>
      <top style="thick">
        <color theme="3" tint="0.39994506668294322"/>
      </top>
      <bottom style="thick">
        <color theme="3" tint="0.39994506668294322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7">
    <xf numFmtId="0" fontId="0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164" fontId="0" fillId="0" borderId="0" xfId="1" applyNumberFormat="1" applyFont="1" applyAlignment="1">
      <alignment wrapText="1"/>
    </xf>
    <xf numFmtId="164" fontId="0" fillId="0" borderId="0" xfId="1" applyNumberFormat="1" applyFont="1" applyFill="1" applyAlignment="1">
      <alignment wrapText="1"/>
    </xf>
    <xf numFmtId="0" fontId="6" fillId="0" borderId="0" xfId="0" applyFont="1" applyAlignment="1">
      <alignment wrapText="1"/>
    </xf>
    <xf numFmtId="164" fontId="6" fillId="0" borderId="0" xfId="1" applyNumberFormat="1" applyFont="1" applyAlignment="1">
      <alignment wrapText="1"/>
    </xf>
    <xf numFmtId="0" fontId="6" fillId="0" borderId="0" xfId="0" applyFont="1" applyAlignment="1">
      <alignment horizontal="right" wrapText="1"/>
    </xf>
    <xf numFmtId="0" fontId="6" fillId="0" borderId="7" xfId="0" applyFont="1" applyBorder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9" xfId="0" applyFont="1" applyFill="1" applyBorder="1" applyAlignment="1"/>
    <xf numFmtId="0" fontId="8" fillId="0" borderId="1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7" fillId="0" borderId="6" xfId="0" applyFont="1" applyBorder="1" applyAlignment="1">
      <alignment horizontal="right" wrapText="1"/>
    </xf>
    <xf numFmtId="0" fontId="10" fillId="0" borderId="6" xfId="0" applyFont="1" applyBorder="1" applyAlignment="1">
      <alignment horizontal="right" wrapText="1"/>
    </xf>
    <xf numFmtId="0" fontId="10" fillId="0" borderId="9" xfId="0" applyFont="1" applyBorder="1" applyAlignment="1">
      <alignment horizontal="right" wrapText="1"/>
    </xf>
    <xf numFmtId="0" fontId="10" fillId="0" borderId="6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10" fillId="0" borderId="4" xfId="0" applyFont="1" applyBorder="1" applyAlignment="1">
      <alignment wrapText="1"/>
    </xf>
    <xf numFmtId="0" fontId="10" fillId="0" borderId="9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 applyAlignment="1"/>
    <xf numFmtId="164" fontId="10" fillId="2" borderId="6" xfId="1" applyNumberFormat="1" applyFont="1" applyFill="1" applyBorder="1" applyAlignment="1">
      <alignment wrapText="1"/>
    </xf>
    <xf numFmtId="164" fontId="10" fillId="2" borderId="6" xfId="1" applyNumberFormat="1" applyFont="1" applyFill="1" applyBorder="1" applyAlignment="1"/>
    <xf numFmtId="0" fontId="11" fillId="0" borderId="6" xfId="0" applyFont="1" applyFill="1" applyBorder="1" applyAlignment="1">
      <alignment wrapText="1"/>
    </xf>
    <xf numFmtId="0" fontId="11" fillId="0" borderId="0" xfId="0" applyFont="1" applyAlignment="1">
      <alignment wrapText="1"/>
    </xf>
    <xf numFmtId="164" fontId="10" fillId="0" borderId="14" xfId="1" applyNumberFormat="1" applyFont="1" applyBorder="1" applyAlignment="1">
      <alignment wrapText="1"/>
    </xf>
    <xf numFmtId="164" fontId="7" fillId="2" borderId="15" xfId="1" applyNumberFormat="1" applyFont="1" applyFill="1" applyBorder="1" applyAlignment="1">
      <alignment wrapText="1"/>
    </xf>
    <xf numFmtId="0" fontId="10" fillId="0" borderId="14" xfId="0" applyFont="1" applyBorder="1" applyAlignment="1">
      <alignment wrapText="1"/>
    </xf>
    <xf numFmtId="164" fontId="7" fillId="2" borderId="14" xfId="1" applyNumberFormat="1" applyFont="1" applyFill="1" applyBorder="1" applyAlignment="1">
      <alignment wrapText="1"/>
    </xf>
    <xf numFmtId="164" fontId="7" fillId="2" borderId="16" xfId="1" applyNumberFormat="1" applyFont="1" applyFill="1" applyBorder="1" applyAlignment="1">
      <alignment wrapText="1"/>
    </xf>
    <xf numFmtId="164" fontId="7" fillId="2" borderId="14" xfId="0" applyNumberFormat="1" applyFont="1" applyFill="1" applyBorder="1" applyAlignment="1">
      <alignment wrapText="1"/>
    </xf>
    <xf numFmtId="164" fontId="7" fillId="2" borderId="14" xfId="1" applyNumberFormat="1" applyFont="1" applyFill="1" applyBorder="1" applyAlignment="1"/>
    <xf numFmtId="0" fontId="6" fillId="0" borderId="16" xfId="0" applyFont="1" applyFill="1" applyBorder="1" applyAlignment="1"/>
    <xf numFmtId="0" fontId="7" fillId="2" borderId="14" xfId="1" applyNumberFormat="1" applyFont="1" applyFill="1" applyBorder="1" applyAlignment="1">
      <alignment horizontal="center" wrapText="1"/>
    </xf>
    <xf numFmtId="0" fontId="10" fillId="0" borderId="16" xfId="0" applyFont="1" applyBorder="1" applyAlignment="1">
      <alignment wrapText="1"/>
    </xf>
    <xf numFmtId="164" fontId="11" fillId="2" borderId="17" xfId="0" applyNumberFormat="1" applyFont="1" applyFill="1" applyBorder="1" applyAlignment="1">
      <alignment wrapText="1"/>
    </xf>
    <xf numFmtId="0" fontId="10" fillId="0" borderId="17" xfId="0" applyFont="1" applyBorder="1" applyAlignment="1">
      <alignment wrapText="1"/>
    </xf>
    <xf numFmtId="0" fontId="10" fillId="0" borderId="13" xfId="0" applyFont="1" applyBorder="1" applyAlignment="1">
      <alignment wrapText="1"/>
    </xf>
    <xf numFmtId="164" fontId="11" fillId="2" borderId="14" xfId="0" applyNumberFormat="1" applyFont="1" applyFill="1" applyBorder="1" applyAlignment="1">
      <alignment wrapText="1"/>
    </xf>
    <xf numFmtId="164" fontId="10" fillId="0" borderId="14" xfId="0" applyNumberFormat="1" applyFont="1" applyBorder="1" applyAlignment="1">
      <alignment wrapText="1"/>
    </xf>
    <xf numFmtId="164" fontId="11" fillId="2" borderId="14" xfId="1" applyNumberFormat="1" applyFont="1" applyFill="1" applyBorder="1" applyAlignment="1">
      <alignment wrapText="1"/>
    </xf>
    <xf numFmtId="0" fontId="10" fillId="0" borderId="18" xfId="0" applyFont="1" applyBorder="1" applyAlignment="1">
      <alignment wrapText="1"/>
    </xf>
    <xf numFmtId="0" fontId="10" fillId="0" borderId="9" xfId="0" applyFont="1" applyFill="1" applyBorder="1" applyAlignment="1">
      <alignment horizontal="right" wrapText="1"/>
    </xf>
    <xf numFmtId="0" fontId="7" fillId="2" borderId="14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/>
    </xf>
    <xf numFmtId="164" fontId="10" fillId="4" borderId="14" xfId="1" applyNumberFormat="1" applyFont="1" applyFill="1" applyBorder="1" applyAlignment="1">
      <alignment wrapText="1"/>
    </xf>
    <xf numFmtId="10" fontId="10" fillId="4" borderId="14" xfId="1" applyNumberFormat="1" applyFont="1" applyFill="1" applyBorder="1" applyAlignment="1">
      <alignment wrapText="1"/>
    </xf>
    <xf numFmtId="164" fontId="10" fillId="4" borderId="16" xfId="1" applyNumberFormat="1" applyFont="1" applyFill="1" applyBorder="1" applyAlignment="1">
      <alignment wrapText="1"/>
    </xf>
    <xf numFmtId="0" fontId="10" fillId="4" borderId="14" xfId="1" applyNumberFormat="1" applyFont="1" applyFill="1" applyBorder="1" applyAlignment="1">
      <alignment horizontal="center" wrapText="1"/>
    </xf>
    <xf numFmtId="164" fontId="10" fillId="4" borderId="17" xfId="0" applyNumberFormat="1" applyFont="1" applyFill="1" applyBorder="1" applyAlignment="1">
      <alignment wrapText="1"/>
    </xf>
    <xf numFmtId="164" fontId="10" fillId="4" borderId="17" xfId="1" applyNumberFormat="1" applyFont="1" applyFill="1" applyBorder="1" applyAlignment="1">
      <alignment wrapText="1"/>
    </xf>
    <xf numFmtId="164" fontId="7" fillId="2" borderId="18" xfId="0" applyNumberFormat="1" applyFont="1" applyFill="1" applyBorder="1" applyAlignment="1">
      <alignment wrapText="1"/>
    </xf>
    <xf numFmtId="165" fontId="7" fillId="2" borderId="14" xfId="2" applyNumberFormat="1" applyFont="1" applyFill="1" applyBorder="1" applyAlignment="1">
      <alignment wrapText="1"/>
    </xf>
    <xf numFmtId="166" fontId="7" fillId="2" borderId="14" xfId="0" applyNumberFormat="1" applyFont="1" applyFill="1" applyBorder="1" applyAlignment="1">
      <alignment wrapText="1"/>
    </xf>
    <xf numFmtId="166" fontId="7" fillId="3" borderId="16" xfId="0" applyNumberFormat="1" applyFont="1" applyFill="1" applyBorder="1" applyAlignment="1">
      <alignment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</cellXfs>
  <cellStyles count="7">
    <cellStyle name="Currency" xfId="1" builtinId="4"/>
    <cellStyle name="Followed Hyperlink" xfId="4" builtinId="9" hidden="1"/>
    <cellStyle name="Followed Hyperlink" xfId="6" builtinId="9" hidden="1"/>
    <cellStyle name="Hyperlink" xfId="3" builtinId="8" hidden="1"/>
    <cellStyle name="Hyperlink" xfId="5" builtinId="8" hidden="1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823B"/>
      <color rgb="FF008E4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47625</xdr:colOff>
      <xdr:row>2</xdr:row>
      <xdr:rowOff>19050</xdr:rowOff>
    </xdr:from>
    <xdr:ext cx="2340962" cy="248851"/>
    <xdr:sp macro="" textlink="">
      <xdr:nvSpPr>
        <xdr:cNvPr id="2" name="TextBox 1"/>
        <xdr:cNvSpPr txBox="1"/>
      </xdr:nvSpPr>
      <xdr:spPr>
        <a:xfrm>
          <a:off x="10906125" y="1009650"/>
          <a:ext cx="2340962" cy="248851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>
              <a:solidFill>
                <a:schemeClr val="bg2">
                  <a:lumMod val="25000"/>
                </a:schemeClr>
              </a:solidFill>
            </a:rPr>
            <a:t>Enter</a:t>
          </a:r>
          <a:r>
            <a:rPr lang="en-US" sz="1000" baseline="0">
              <a:solidFill>
                <a:schemeClr val="bg2">
                  <a:lumMod val="25000"/>
                </a:schemeClr>
              </a:solidFill>
            </a:rPr>
            <a:t> Values in GRAY Highlited fields only</a:t>
          </a:r>
          <a:endParaRPr lang="en-US" sz="10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8" tint="-0.499984740745262"/>
  </sheetPr>
  <dimension ref="B1:R51"/>
  <sheetViews>
    <sheetView showGridLines="0" tabSelected="1" zoomScaleNormal="100" zoomScalePageLayoutView="150" workbookViewId="0">
      <selection activeCell="C21" sqref="C21"/>
    </sheetView>
  </sheetViews>
  <sheetFormatPr defaultColWidth="8.85546875" defaultRowHeight="12.75" x14ac:dyDescent="0.2"/>
  <cols>
    <col min="1" max="1" width="4.5703125" style="1" customWidth="1"/>
    <col min="2" max="2" width="27" style="1" customWidth="1"/>
    <col min="3" max="3" width="15" style="3" customWidth="1"/>
    <col min="4" max="4" width="7.28515625" style="1" customWidth="1"/>
    <col min="5" max="5" width="24.42578125" style="1" customWidth="1"/>
    <col min="6" max="6" width="18.28515625" style="1" customWidth="1"/>
    <col min="7" max="7" width="8.28515625" style="1" customWidth="1"/>
    <col min="8" max="8" width="25.140625" style="1" customWidth="1"/>
    <col min="9" max="9" width="13" style="1" customWidth="1"/>
    <col min="10" max="10" width="16.42578125" style="1" customWidth="1"/>
    <col min="11" max="11" width="3.42578125" style="1" customWidth="1"/>
    <col min="12" max="12" width="27.42578125" style="1" customWidth="1"/>
    <col min="13" max="13" width="15.42578125" style="1" bestFit="1" customWidth="1"/>
    <col min="14" max="14" width="18.42578125" style="1" customWidth="1"/>
    <col min="15" max="16384" width="8.85546875" style="1"/>
  </cols>
  <sheetData>
    <row r="1" spans="2:18" ht="51.75" customHeight="1" thickTop="1" thickBot="1" x14ac:dyDescent="0.25">
      <c r="B1" s="62" t="s">
        <v>45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</row>
    <row r="2" spans="2:18" ht="26.25" customHeight="1" thickTop="1" thickBot="1" x14ac:dyDescent="0.25"/>
    <row r="3" spans="2:18" ht="27" customHeight="1" x14ac:dyDescent="0.25">
      <c r="B3" s="60" t="s">
        <v>2</v>
      </c>
      <c r="C3" s="61"/>
      <c r="D3" s="5"/>
      <c r="E3" s="60" t="s">
        <v>10</v>
      </c>
      <c r="F3" s="61"/>
      <c r="G3" s="5"/>
      <c r="H3" s="22" t="s">
        <v>15</v>
      </c>
      <c r="I3" s="56">
        <f>C20+F5</f>
        <v>103000</v>
      </c>
      <c r="J3" s="5"/>
      <c r="K3" s="5"/>
      <c r="L3" s="5"/>
      <c r="M3" s="5"/>
      <c r="N3" s="5"/>
    </row>
    <row r="4" spans="2:18" ht="15" x14ac:dyDescent="0.25">
      <c r="B4" s="16" t="s">
        <v>0</v>
      </c>
      <c r="C4" s="50">
        <v>503.85</v>
      </c>
      <c r="D4" s="5"/>
      <c r="E4" s="18" t="s">
        <v>11</v>
      </c>
      <c r="F4" s="51">
        <v>0.08</v>
      </c>
      <c r="G4" s="5"/>
      <c r="H4" s="16" t="s">
        <v>16</v>
      </c>
      <c r="I4" s="57">
        <f>F5/I3</f>
        <v>0.12621359223300971</v>
      </c>
      <c r="J4" s="5"/>
      <c r="K4" s="5"/>
      <c r="L4" s="5"/>
      <c r="M4" s="5"/>
      <c r="N4" s="5"/>
    </row>
    <row r="5" spans="2:18" ht="15" x14ac:dyDescent="0.25">
      <c r="B5" s="16" t="s">
        <v>12</v>
      </c>
      <c r="C5" s="50">
        <v>56842.45</v>
      </c>
      <c r="D5" s="5"/>
      <c r="E5" s="20" t="s">
        <v>14</v>
      </c>
      <c r="F5" s="50">
        <v>13000</v>
      </c>
      <c r="G5" s="5"/>
      <c r="H5" s="16" t="s">
        <v>39</v>
      </c>
      <c r="I5" s="58">
        <f>NPER(F4,-F5,-C8,N9)</f>
        <v>10.385980783964994</v>
      </c>
      <c r="J5" s="5"/>
      <c r="K5" s="5"/>
      <c r="L5" s="5"/>
      <c r="M5" s="5"/>
      <c r="N5" s="5"/>
    </row>
    <row r="6" spans="2:18" ht="44.25" customHeight="1" thickBot="1" x14ac:dyDescent="0.3">
      <c r="B6" s="16" t="s">
        <v>13</v>
      </c>
      <c r="C6" s="50">
        <v>26617.1</v>
      </c>
      <c r="D6" s="5"/>
      <c r="E6" s="47" t="s">
        <v>41</v>
      </c>
      <c r="F6" s="52">
        <v>-500</v>
      </c>
      <c r="G6" s="5"/>
      <c r="H6" s="23" t="s">
        <v>42</v>
      </c>
      <c r="I6" s="59">
        <f>NPER(F4,-F5+12*F6,-C8,N9)</f>
        <v>9.5369317141383245</v>
      </c>
      <c r="J6" s="5"/>
      <c r="K6" s="5"/>
      <c r="L6" s="5"/>
      <c r="M6" s="5"/>
      <c r="N6" s="5"/>
    </row>
    <row r="7" spans="2:18" ht="21.75" customHeight="1" thickBot="1" x14ac:dyDescent="0.3">
      <c r="B7" s="16" t="s">
        <v>1</v>
      </c>
      <c r="C7" s="50">
        <v>331094.63</v>
      </c>
      <c r="D7" s="5"/>
      <c r="E7" s="5"/>
      <c r="F7" s="6"/>
      <c r="G7" s="5"/>
      <c r="H7" s="5"/>
      <c r="I7" s="5"/>
      <c r="J7" s="5"/>
      <c r="K7" s="5"/>
      <c r="L7" s="5"/>
      <c r="M7" s="5"/>
      <c r="N7" s="5"/>
    </row>
    <row r="8" spans="2:18" ht="25.5" customHeight="1" x14ac:dyDescent="0.25">
      <c r="B8" s="16"/>
      <c r="C8" s="31">
        <f>SUM(C4:C7)</f>
        <v>415058.03</v>
      </c>
      <c r="D8" s="5"/>
      <c r="E8" s="22"/>
      <c r="F8" s="46"/>
      <c r="G8" s="7"/>
      <c r="H8" s="8"/>
      <c r="I8" s="12" t="s">
        <v>48</v>
      </c>
      <c r="J8" s="13" t="s">
        <v>36</v>
      </c>
      <c r="K8" s="14"/>
      <c r="L8" s="15"/>
      <c r="M8" s="12" t="s">
        <v>49</v>
      </c>
      <c r="N8" s="13" t="s">
        <v>36</v>
      </c>
      <c r="R8" s="4"/>
    </row>
    <row r="9" spans="2:18" ht="15.75" x14ac:dyDescent="0.25">
      <c r="B9" s="16"/>
      <c r="C9" s="32"/>
      <c r="D9" s="5"/>
      <c r="E9" s="18" t="s">
        <v>46</v>
      </c>
      <c r="F9" s="53">
        <v>25</v>
      </c>
      <c r="G9" s="7"/>
      <c r="H9" s="28" t="s">
        <v>17</v>
      </c>
      <c r="I9" s="40">
        <f>SUM(I12:I28)</f>
        <v>7500</v>
      </c>
      <c r="J9" s="43">
        <f>I9*12/0.04</f>
        <v>2250000</v>
      </c>
      <c r="K9" s="29"/>
      <c r="L9" s="28" t="s">
        <v>28</v>
      </c>
      <c r="M9" s="40">
        <f>SUM(M12:M28)</f>
        <v>3740</v>
      </c>
      <c r="N9" s="45">
        <f>M9*12/0.04</f>
        <v>1122000</v>
      </c>
      <c r="R9" s="4"/>
    </row>
    <row r="10" spans="2:18" ht="15" x14ac:dyDescent="0.25">
      <c r="B10" s="17" t="s">
        <v>44</v>
      </c>
      <c r="C10" s="33">
        <f>C8*0.04/52/40</f>
        <v>7.9818851923076934</v>
      </c>
      <c r="D10" s="5"/>
      <c r="E10" s="18" t="s">
        <v>47</v>
      </c>
      <c r="F10" s="38">
        <f>IF(C24&lt;E13,F13,IF(C24&lt;E14,F14,IF(C24&lt;E15,F15,IF(C24&lt;E16,F16,IF(C24&lt;E17,F17,IF(C24&lt;E18,F18,IF(C24&lt;E19,F19,IF(C24&lt;E20,F20,IF(C24&lt;E21,F21,IF(C24&lt;E22,F22,IF(C24&lt;E23,F23,IF(C24&lt;E24,F24,IF(C24&lt;E25,F25,IF(C24&lt;E26,F26,IF(C24&lt;E27,F27,IF(C24&lt;E28,F28,IF(C24&lt;E29,F29,IF(C24&lt;E30,F30,IF(C24&lt;E31,F31,IF(C24&lt;E32,F32,))))))))))))))))))))</f>
        <v>44</v>
      </c>
      <c r="G10" s="7"/>
      <c r="H10" s="16"/>
      <c r="I10" s="41"/>
      <c r="J10" s="32"/>
      <c r="K10" s="24"/>
      <c r="L10" s="16"/>
      <c r="M10" s="41"/>
      <c r="N10" s="32"/>
      <c r="R10" s="4"/>
    </row>
    <row r="11" spans="2:18" ht="15" x14ac:dyDescent="0.25">
      <c r="B11" s="16"/>
      <c r="C11" s="30"/>
      <c r="D11" s="5"/>
      <c r="E11" s="16"/>
      <c r="F11" s="32"/>
      <c r="G11" s="7"/>
      <c r="H11" s="16"/>
      <c r="I11" s="41"/>
      <c r="J11" s="32"/>
      <c r="K11" s="24"/>
      <c r="L11" s="16"/>
      <c r="M11" s="41"/>
      <c r="N11" s="32"/>
      <c r="R11" s="4"/>
    </row>
    <row r="12" spans="2:18" ht="15.75" customHeight="1" x14ac:dyDescent="0.25">
      <c r="B12" s="18" t="s">
        <v>3</v>
      </c>
      <c r="C12" s="51">
        <v>0.04</v>
      </c>
      <c r="D12" s="5"/>
      <c r="E12" s="16"/>
      <c r="F12" s="32"/>
      <c r="G12" s="7"/>
      <c r="H12" s="16" t="s">
        <v>40</v>
      </c>
      <c r="I12" s="54">
        <v>2200</v>
      </c>
      <c r="J12" s="44">
        <f t="shared" ref="J12:J28" si="0">I12*12/0.04</f>
        <v>660000</v>
      </c>
      <c r="K12" s="24"/>
      <c r="L12" s="16" t="s">
        <v>29</v>
      </c>
      <c r="M12" s="55">
        <v>500</v>
      </c>
      <c r="N12" s="30">
        <f t="shared" ref="N12:N28" si="1">M12*12/0.04</f>
        <v>150000</v>
      </c>
      <c r="R12" s="4"/>
    </row>
    <row r="13" spans="2:18" ht="15" x14ac:dyDescent="0.25">
      <c r="B13" s="18" t="s">
        <v>4</v>
      </c>
      <c r="C13" s="33">
        <f>C8*C12</f>
        <v>16602.321200000002</v>
      </c>
      <c r="D13" s="5"/>
      <c r="E13" s="26">
        <f>SUM(C8+F5)*(1+F4)</f>
        <v>462302.67240000004</v>
      </c>
      <c r="F13" s="48">
        <f>F9+1</f>
        <v>26</v>
      </c>
      <c r="G13" s="7"/>
      <c r="H13" s="16" t="s">
        <v>24</v>
      </c>
      <c r="I13" s="54">
        <v>200</v>
      </c>
      <c r="J13" s="44">
        <f t="shared" si="0"/>
        <v>60000</v>
      </c>
      <c r="K13" s="24"/>
      <c r="L13" s="16" t="s">
        <v>24</v>
      </c>
      <c r="M13" s="55">
        <v>200</v>
      </c>
      <c r="N13" s="30">
        <f t="shared" si="1"/>
        <v>60000</v>
      </c>
      <c r="R13" s="4"/>
    </row>
    <row r="14" spans="2:18" ht="15.75" thickBot="1" x14ac:dyDescent="0.3">
      <c r="B14" s="19" t="s">
        <v>5</v>
      </c>
      <c r="C14" s="34">
        <f>C13/12</f>
        <v>1383.5267666666668</v>
      </c>
      <c r="D14" s="5"/>
      <c r="E14" s="26">
        <f>SUM(E13+F5)*(1+F4)</f>
        <v>513326.88619200006</v>
      </c>
      <c r="F14" s="48">
        <f>F13+1</f>
        <v>27</v>
      </c>
      <c r="G14" s="7"/>
      <c r="H14" s="16" t="s">
        <v>18</v>
      </c>
      <c r="I14" s="54">
        <v>2000</v>
      </c>
      <c r="J14" s="44">
        <f t="shared" si="0"/>
        <v>600000</v>
      </c>
      <c r="K14" s="24"/>
      <c r="L14" s="16" t="s">
        <v>18</v>
      </c>
      <c r="M14" s="55">
        <v>0</v>
      </c>
      <c r="N14" s="30">
        <f t="shared" si="1"/>
        <v>0</v>
      </c>
      <c r="R14" s="4"/>
    </row>
    <row r="15" spans="2:18" ht="15" x14ac:dyDescent="0.25">
      <c r="B15" s="5"/>
      <c r="C15" s="6"/>
      <c r="D15" s="5"/>
      <c r="E15" s="26">
        <f>SUM(E14+F5)*(1+F4)</f>
        <v>568433.03708736005</v>
      </c>
      <c r="F15" s="48">
        <f t="shared" ref="F15:F32" si="2">F14+1</f>
        <v>28</v>
      </c>
      <c r="G15" s="7"/>
      <c r="H15" s="16" t="s">
        <v>19</v>
      </c>
      <c r="I15" s="54">
        <v>600</v>
      </c>
      <c r="J15" s="44">
        <f t="shared" si="0"/>
        <v>180000</v>
      </c>
      <c r="K15" s="24"/>
      <c r="L15" s="16" t="s">
        <v>19</v>
      </c>
      <c r="M15" s="55">
        <v>520</v>
      </c>
      <c r="N15" s="30">
        <f t="shared" si="1"/>
        <v>156000</v>
      </c>
      <c r="R15" s="4"/>
    </row>
    <row r="16" spans="2:18" ht="15" x14ac:dyDescent="0.25">
      <c r="B16" s="5"/>
      <c r="C16" s="6"/>
      <c r="D16" s="5"/>
      <c r="E16" s="26">
        <f>SUM(E15+F5)*(1+F4)</f>
        <v>627947.68005434889</v>
      </c>
      <c r="F16" s="48">
        <f t="shared" si="2"/>
        <v>29</v>
      </c>
      <c r="G16" s="7"/>
      <c r="H16" s="16" t="s">
        <v>20</v>
      </c>
      <c r="I16" s="54">
        <v>300</v>
      </c>
      <c r="J16" s="44">
        <f t="shared" si="0"/>
        <v>90000</v>
      </c>
      <c r="K16" s="24"/>
      <c r="L16" s="16" t="s">
        <v>20</v>
      </c>
      <c r="M16" s="55">
        <v>300</v>
      </c>
      <c r="N16" s="30">
        <f t="shared" si="1"/>
        <v>90000</v>
      </c>
      <c r="R16" s="4"/>
    </row>
    <row r="17" spans="2:18" ht="15.75" thickBot="1" x14ac:dyDescent="0.3">
      <c r="B17" s="5"/>
      <c r="C17" s="6"/>
      <c r="D17" s="5"/>
      <c r="E17" s="26">
        <f>SUM(E16+F5)*(1+F4)</f>
        <v>692223.4944586968</v>
      </c>
      <c r="F17" s="48">
        <f t="shared" si="2"/>
        <v>30</v>
      </c>
      <c r="G17" s="7"/>
      <c r="H17" s="16" t="s">
        <v>27</v>
      </c>
      <c r="I17" s="54">
        <v>200</v>
      </c>
      <c r="J17" s="44">
        <f t="shared" si="0"/>
        <v>60000</v>
      </c>
      <c r="K17" s="24"/>
      <c r="L17" s="16" t="s">
        <v>27</v>
      </c>
      <c r="M17" s="55">
        <v>220</v>
      </c>
      <c r="N17" s="30">
        <f t="shared" si="1"/>
        <v>66000</v>
      </c>
      <c r="R17" s="4"/>
    </row>
    <row r="18" spans="2:18" s="2" customFormat="1" ht="15" x14ac:dyDescent="0.25">
      <c r="B18" s="65" t="s">
        <v>6</v>
      </c>
      <c r="C18" s="66"/>
      <c r="D18" s="9"/>
      <c r="E18" s="26">
        <f>SUM(E17+F5)*(1+F4)</f>
        <v>761641.37401539262</v>
      </c>
      <c r="F18" s="48">
        <f t="shared" si="2"/>
        <v>31</v>
      </c>
      <c r="G18" s="10"/>
      <c r="H18" s="16" t="s">
        <v>21</v>
      </c>
      <c r="I18" s="54">
        <f>500</f>
        <v>500</v>
      </c>
      <c r="J18" s="44">
        <f t="shared" si="0"/>
        <v>150000</v>
      </c>
      <c r="K18" s="24"/>
      <c r="L18" s="16" t="s">
        <v>21</v>
      </c>
      <c r="M18" s="55">
        <v>500</v>
      </c>
      <c r="N18" s="30">
        <f t="shared" si="1"/>
        <v>150000</v>
      </c>
      <c r="R18" s="4"/>
    </row>
    <row r="19" spans="2:18" ht="15" x14ac:dyDescent="0.25">
      <c r="B19" s="67"/>
      <c r="C19" s="68"/>
      <c r="D19" s="5"/>
      <c r="E19" s="26">
        <f>SUM(E18+F5)*(1+F4)</f>
        <v>836612.68393662409</v>
      </c>
      <c r="F19" s="48">
        <f t="shared" si="2"/>
        <v>32</v>
      </c>
      <c r="G19" s="7"/>
      <c r="H19" s="16" t="s">
        <v>22</v>
      </c>
      <c r="I19" s="54">
        <v>200</v>
      </c>
      <c r="J19" s="44">
        <f t="shared" si="0"/>
        <v>60000</v>
      </c>
      <c r="K19" s="24"/>
      <c r="L19" s="16" t="s">
        <v>22</v>
      </c>
      <c r="M19" s="55">
        <v>0</v>
      </c>
      <c r="N19" s="30">
        <f t="shared" si="1"/>
        <v>0</v>
      </c>
      <c r="R19" s="4"/>
    </row>
    <row r="20" spans="2:18" ht="15" x14ac:dyDescent="0.25">
      <c r="B20" s="18" t="s">
        <v>7</v>
      </c>
      <c r="C20" s="33">
        <f>C21*12</f>
        <v>90000</v>
      </c>
      <c r="D20" s="5"/>
      <c r="E20" s="26">
        <f>SUM(E19+F5)*(1+F4)</f>
        <v>917581.69865155406</v>
      </c>
      <c r="F20" s="48">
        <f t="shared" si="2"/>
        <v>33</v>
      </c>
      <c r="G20" s="7"/>
      <c r="H20" s="16" t="s">
        <v>33</v>
      </c>
      <c r="I20" s="54">
        <v>100</v>
      </c>
      <c r="J20" s="44">
        <f t="shared" si="0"/>
        <v>30000</v>
      </c>
      <c r="K20" s="24"/>
      <c r="L20" s="16" t="s">
        <v>34</v>
      </c>
      <c r="M20" s="55">
        <v>100</v>
      </c>
      <c r="N20" s="30">
        <f t="shared" si="1"/>
        <v>30000</v>
      </c>
      <c r="R20" s="4"/>
    </row>
    <row r="21" spans="2:18" ht="15" x14ac:dyDescent="0.25">
      <c r="B21" s="18" t="s">
        <v>8</v>
      </c>
      <c r="C21" s="33">
        <f>I9</f>
        <v>7500</v>
      </c>
      <c r="D21" s="5"/>
      <c r="E21" s="26">
        <f>SUM(E20+F5)*(1+F4)</f>
        <v>1005028.2345436785</v>
      </c>
      <c r="F21" s="48">
        <f t="shared" si="2"/>
        <v>34</v>
      </c>
      <c r="G21" s="7"/>
      <c r="H21" s="16" t="s">
        <v>23</v>
      </c>
      <c r="I21" s="54">
        <v>150</v>
      </c>
      <c r="J21" s="44">
        <f t="shared" si="0"/>
        <v>45000</v>
      </c>
      <c r="K21" s="24"/>
      <c r="L21" s="16" t="s">
        <v>23</v>
      </c>
      <c r="M21" s="55">
        <v>150</v>
      </c>
      <c r="N21" s="30">
        <f t="shared" si="1"/>
        <v>45000</v>
      </c>
      <c r="R21" s="4"/>
    </row>
    <row r="22" spans="2:18" ht="15" x14ac:dyDescent="0.25">
      <c r="B22" s="20" t="s">
        <v>43</v>
      </c>
      <c r="C22" s="35">
        <f>C20/365</f>
        <v>246.57534246575344</v>
      </c>
      <c r="D22" s="5"/>
      <c r="E22" s="26">
        <f>SUM(E21+F5)*(1+F4)</f>
        <v>1099470.4933071728</v>
      </c>
      <c r="F22" s="48">
        <f t="shared" si="2"/>
        <v>35</v>
      </c>
      <c r="G22" s="7"/>
      <c r="H22" s="16" t="s">
        <v>25</v>
      </c>
      <c r="I22" s="54">
        <v>100</v>
      </c>
      <c r="J22" s="44">
        <f t="shared" si="0"/>
        <v>30000</v>
      </c>
      <c r="K22" s="25"/>
      <c r="L22" s="16" t="s">
        <v>25</v>
      </c>
      <c r="M22" s="55">
        <v>200</v>
      </c>
      <c r="N22" s="30">
        <f t="shared" si="1"/>
        <v>60000</v>
      </c>
      <c r="R22" s="4"/>
    </row>
    <row r="23" spans="2:18" s="2" customFormat="1" ht="15" x14ac:dyDescent="0.25">
      <c r="B23" s="16"/>
      <c r="C23" s="30"/>
      <c r="D23" s="9"/>
      <c r="E23" s="27">
        <f>SUM(E22+F5)*(1+F4)</f>
        <v>1201468.1327717467</v>
      </c>
      <c r="F23" s="49">
        <f t="shared" si="2"/>
        <v>36</v>
      </c>
      <c r="G23" s="7"/>
      <c r="H23" s="16" t="s">
        <v>26</v>
      </c>
      <c r="I23" s="54">
        <v>100</v>
      </c>
      <c r="J23" s="44">
        <f t="shared" si="0"/>
        <v>30000</v>
      </c>
      <c r="K23" s="24"/>
      <c r="L23" s="16" t="s">
        <v>26</v>
      </c>
      <c r="M23" s="55">
        <v>50</v>
      </c>
      <c r="N23" s="30">
        <f t="shared" si="1"/>
        <v>15000</v>
      </c>
      <c r="R23" s="4"/>
    </row>
    <row r="24" spans="2:18" ht="15" x14ac:dyDescent="0.25">
      <c r="B24" s="21" t="s">
        <v>9</v>
      </c>
      <c r="C24" s="36">
        <f>C20*25</f>
        <v>2250000</v>
      </c>
      <c r="D24" s="5"/>
      <c r="E24" s="26">
        <f>SUM(E23+F5)*(1+F4)</f>
        <v>1311625.5833934864</v>
      </c>
      <c r="F24" s="48">
        <f t="shared" si="2"/>
        <v>37</v>
      </c>
      <c r="G24" s="7"/>
      <c r="H24" s="16" t="s">
        <v>31</v>
      </c>
      <c r="I24" s="54">
        <v>250</v>
      </c>
      <c r="J24" s="44">
        <f t="shared" si="0"/>
        <v>75000</v>
      </c>
      <c r="K24" s="24"/>
      <c r="L24" s="16" t="s">
        <v>30</v>
      </c>
      <c r="M24" s="55">
        <v>500</v>
      </c>
      <c r="N24" s="30">
        <f t="shared" si="1"/>
        <v>150000</v>
      </c>
      <c r="R24" s="4"/>
    </row>
    <row r="25" spans="2:18" ht="15.75" thickBot="1" x14ac:dyDescent="0.3">
      <c r="B25" s="11"/>
      <c r="C25" s="37"/>
      <c r="D25" s="5"/>
      <c r="E25" s="26">
        <f>SUM(E24+F5)*(1+F4)</f>
        <v>1430595.6300649655</v>
      </c>
      <c r="F25" s="48">
        <f t="shared" si="2"/>
        <v>38</v>
      </c>
      <c r="G25" s="7"/>
      <c r="H25" s="16" t="s">
        <v>32</v>
      </c>
      <c r="I25" s="54">
        <v>100</v>
      </c>
      <c r="J25" s="44">
        <f t="shared" si="0"/>
        <v>30000</v>
      </c>
      <c r="K25" s="24"/>
      <c r="L25" s="16" t="s">
        <v>32</v>
      </c>
      <c r="M25" s="55">
        <v>0</v>
      </c>
      <c r="N25" s="30">
        <f t="shared" si="1"/>
        <v>0</v>
      </c>
      <c r="R25" s="4"/>
    </row>
    <row r="26" spans="2:18" ht="15" x14ac:dyDescent="0.25">
      <c r="B26" s="5"/>
      <c r="C26" s="5"/>
      <c r="D26" s="5"/>
      <c r="E26" s="26">
        <f>SUM(E25+F5)*(1+F4)</f>
        <v>1559083.2804701629</v>
      </c>
      <c r="F26" s="48">
        <f t="shared" si="2"/>
        <v>39</v>
      </c>
      <c r="G26" s="7"/>
      <c r="H26" s="16" t="s">
        <v>35</v>
      </c>
      <c r="I26" s="54">
        <v>250</v>
      </c>
      <c r="J26" s="44">
        <f t="shared" si="0"/>
        <v>75000</v>
      </c>
      <c r="K26" s="24"/>
      <c r="L26" s="16" t="s">
        <v>35</v>
      </c>
      <c r="M26" s="55">
        <v>250</v>
      </c>
      <c r="N26" s="30">
        <f t="shared" si="1"/>
        <v>75000</v>
      </c>
    </row>
    <row r="27" spans="2:18" ht="12.75" customHeight="1" x14ac:dyDescent="0.25">
      <c r="B27" s="5"/>
      <c r="C27" s="5"/>
      <c r="D27" s="5"/>
      <c r="E27" s="26">
        <f>SUM(E26+F5)*(1+F4)</f>
        <v>1697849.942907776</v>
      </c>
      <c r="F27" s="48">
        <f t="shared" si="2"/>
        <v>40</v>
      </c>
      <c r="G27" s="7"/>
      <c r="H27" s="16" t="s">
        <v>37</v>
      </c>
      <c r="I27" s="54">
        <v>50</v>
      </c>
      <c r="J27" s="44">
        <f t="shared" si="0"/>
        <v>15000</v>
      </c>
      <c r="K27" s="25"/>
      <c r="L27" s="16" t="s">
        <v>37</v>
      </c>
      <c r="M27" s="55">
        <v>50</v>
      </c>
      <c r="N27" s="30">
        <f t="shared" si="1"/>
        <v>15000</v>
      </c>
    </row>
    <row r="28" spans="2:18" ht="15" x14ac:dyDescent="0.25">
      <c r="B28" s="5"/>
      <c r="C28" s="5"/>
      <c r="D28" s="5"/>
      <c r="E28" s="26">
        <f>SUM(E27+F5)*(1+F4)</f>
        <v>1847717.9383403983</v>
      </c>
      <c r="F28" s="48">
        <f t="shared" si="2"/>
        <v>41</v>
      </c>
      <c r="G28" s="5"/>
      <c r="H28" s="16" t="s">
        <v>38</v>
      </c>
      <c r="I28" s="54">
        <v>200</v>
      </c>
      <c r="J28" s="44">
        <f t="shared" si="0"/>
        <v>60000</v>
      </c>
      <c r="K28" s="24"/>
      <c r="L28" s="16" t="s">
        <v>38</v>
      </c>
      <c r="M28" s="55">
        <v>200</v>
      </c>
      <c r="N28" s="30">
        <f t="shared" si="1"/>
        <v>60000</v>
      </c>
    </row>
    <row r="29" spans="2:18" ht="15" x14ac:dyDescent="0.25">
      <c r="B29" s="5"/>
      <c r="C29" s="5"/>
      <c r="D29" s="5"/>
      <c r="E29" s="26">
        <f>SUM(E28+F5)*(1+F4)</f>
        <v>2009575.3734076302</v>
      </c>
      <c r="F29" s="48">
        <f t="shared" si="2"/>
        <v>42</v>
      </c>
      <c r="G29" s="5"/>
      <c r="H29" s="16"/>
      <c r="I29" s="41"/>
      <c r="J29" s="32"/>
      <c r="K29" s="24"/>
      <c r="L29" s="16"/>
      <c r="M29" s="41"/>
      <c r="N29" s="32"/>
    </row>
    <row r="30" spans="2:18" ht="15" x14ac:dyDescent="0.25">
      <c r="B30" s="5"/>
      <c r="C30" s="5"/>
      <c r="D30" s="5"/>
      <c r="E30" s="26">
        <f>SUM(E29+F5)*(1+F4)</f>
        <v>2184381.4032802409</v>
      </c>
      <c r="F30" s="48">
        <f t="shared" si="2"/>
        <v>43</v>
      </c>
      <c r="G30" s="5"/>
      <c r="H30" s="16"/>
      <c r="I30" s="41"/>
      <c r="J30" s="32"/>
      <c r="K30" s="24"/>
      <c r="L30" s="16"/>
      <c r="M30" s="41"/>
      <c r="N30" s="32"/>
    </row>
    <row r="31" spans="2:18" ht="15.75" thickBot="1" x14ac:dyDescent="0.3">
      <c r="B31" s="5"/>
      <c r="C31" s="6"/>
      <c r="D31" s="5"/>
      <c r="E31" s="26">
        <f>SUM(E30+F5)*(1+F4)</f>
        <v>2373171.9155426603</v>
      </c>
      <c r="F31" s="48">
        <f t="shared" si="2"/>
        <v>44</v>
      </c>
      <c r="G31" s="5"/>
      <c r="H31" s="23"/>
      <c r="I31" s="42"/>
      <c r="J31" s="39"/>
      <c r="K31" s="24"/>
      <c r="L31" s="23"/>
      <c r="M31" s="42"/>
      <c r="N31" s="39"/>
    </row>
    <row r="32" spans="2:18" ht="15" x14ac:dyDescent="0.25">
      <c r="B32" s="5"/>
      <c r="C32" s="5"/>
      <c r="D32" s="5"/>
      <c r="E32" s="26">
        <f>SUM(E31+F5)*(1+F4)</f>
        <v>2577065.6687860731</v>
      </c>
      <c r="F32" s="48">
        <f t="shared" si="2"/>
        <v>45</v>
      </c>
      <c r="G32" s="5"/>
      <c r="H32" s="5"/>
      <c r="I32" s="5"/>
      <c r="J32" s="5"/>
      <c r="K32" s="5"/>
      <c r="L32" s="5"/>
      <c r="M32" s="5"/>
      <c r="N32" s="5"/>
    </row>
    <row r="33" spans="2:14" ht="15.75" thickBot="1" x14ac:dyDescent="0.3">
      <c r="B33" s="5"/>
      <c r="C33" s="5"/>
      <c r="D33" s="5"/>
      <c r="E33" s="23"/>
      <c r="F33" s="39"/>
      <c r="G33" s="5"/>
      <c r="H33" s="5"/>
      <c r="I33" s="5"/>
      <c r="J33" s="5"/>
      <c r="K33" s="5"/>
      <c r="L33" s="5"/>
      <c r="M33" s="5"/>
      <c r="N33" s="5"/>
    </row>
    <row r="34" spans="2:14" x14ac:dyDescent="0.2">
      <c r="C34" s="1"/>
    </row>
    <row r="35" spans="2:14" x14ac:dyDescent="0.2">
      <c r="C35" s="1"/>
    </row>
    <row r="36" spans="2:14" x14ac:dyDescent="0.2">
      <c r="C36" s="1"/>
    </row>
    <row r="37" spans="2:14" x14ac:dyDescent="0.2">
      <c r="C37" s="1"/>
    </row>
    <row r="38" spans="2:14" x14ac:dyDescent="0.2">
      <c r="C38" s="1"/>
    </row>
    <row r="39" spans="2:14" x14ac:dyDescent="0.2">
      <c r="C39" s="1"/>
    </row>
    <row r="40" spans="2:14" x14ac:dyDescent="0.2">
      <c r="C40" s="1"/>
    </row>
    <row r="41" spans="2:14" x14ac:dyDescent="0.2">
      <c r="C41" s="1"/>
    </row>
    <row r="42" spans="2:14" x14ac:dyDescent="0.2">
      <c r="C42" s="1"/>
    </row>
    <row r="43" spans="2:14" x14ac:dyDescent="0.2">
      <c r="C43" s="1"/>
    </row>
    <row r="44" spans="2:14" x14ac:dyDescent="0.2">
      <c r="C44" s="1"/>
    </row>
    <row r="45" spans="2:14" x14ac:dyDescent="0.2">
      <c r="C45" s="1"/>
    </row>
    <row r="46" spans="2:14" x14ac:dyDescent="0.2">
      <c r="C46" s="1"/>
    </row>
    <row r="47" spans="2:14" x14ac:dyDescent="0.2">
      <c r="C47" s="1"/>
    </row>
    <row r="48" spans="2:14" x14ac:dyDescent="0.2">
      <c r="C48" s="1"/>
    </row>
    <row r="49" spans="3:3" x14ac:dyDescent="0.2">
      <c r="C49" s="1"/>
    </row>
    <row r="50" spans="3:3" x14ac:dyDescent="0.2">
      <c r="C50" s="1"/>
    </row>
    <row r="51" spans="3:3" x14ac:dyDescent="0.2">
      <c r="C51" s="1"/>
    </row>
  </sheetData>
  <mergeCells count="4">
    <mergeCell ref="E3:F3"/>
    <mergeCell ref="B3:C3"/>
    <mergeCell ref="B1:N1"/>
    <mergeCell ref="B18:C19"/>
  </mergeCells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early retirement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Money</dc:creator>
  <cp:lastModifiedBy>Devang</cp:lastModifiedBy>
  <cp:lastPrinted>2014-12-04T21:17:19Z</cp:lastPrinted>
  <dcterms:created xsi:type="dcterms:W3CDTF">2012-12-30T15:50:12Z</dcterms:created>
  <dcterms:modified xsi:type="dcterms:W3CDTF">2016-06-30T18:18:55Z</dcterms:modified>
</cp:coreProperties>
</file>