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4670" windowHeight="6675" activeTab="0"/>
  </bookViews>
  <sheets>
    <sheet name="Business case" sheetId="1" r:id="rId1"/>
    <sheet name="new" sheetId="2" r:id="rId2"/>
    <sheet name="current" sheetId="3" r:id="rId3"/>
    <sheet name="Existing Network" sheetId="4" r:id="rId4"/>
    <sheet name="Green Field" sheetId="5" r:id="rId5"/>
    <sheet name="Geodata" sheetId="6" state="hidden" r:id="rId6"/>
    <sheet name="Ellipse" sheetId="7" state="hidden" r:id="rId7"/>
  </sheets>
  <definedNames/>
  <calcPr fullCalcOnLoad="1"/>
</workbook>
</file>

<file path=xl/comments1.xml><?xml version="1.0" encoding="utf-8"?>
<comments xmlns="http://schemas.openxmlformats.org/spreadsheetml/2006/main">
  <authors>
    <author> </author>
  </authors>
  <commentList>
    <comment ref="H101" authorId="0">
      <text>
        <r>
          <rPr>
            <b/>
            <sz val="8"/>
            <rFont val="Tahoma"/>
            <family val="0"/>
          </rPr>
          <t>Easy point and click design, batch automation
The powerful embedded features in Ellipse enable to reduce in average by 45 minutes the duration to setup a link</t>
        </r>
      </text>
    </comment>
    <comment ref="H103" authorId="0">
      <text>
        <r>
          <rPr>
            <b/>
            <sz val="8"/>
            <rFont val="Tahoma"/>
            <family val="0"/>
          </rPr>
          <t>Rich and customisable MW link reports including link budget and reliability results</t>
        </r>
      </text>
    </comment>
    <comment ref="H104" authorId="0">
      <text>
        <r>
          <rPr>
            <b/>
            <sz val="8"/>
            <rFont val="Tahoma"/>
            <family val="0"/>
          </rPr>
          <t>Rich and customisable MW link reports including link budget and reliability results</t>
        </r>
      </text>
    </comment>
    <comment ref="H105" authorId="0">
      <text>
        <r>
          <rPr>
            <b/>
            <sz val="8"/>
            <rFont val="Tahoma"/>
            <family val="2"/>
          </rPr>
          <t>Flexible CSV-based import and export functions supporting sites and links transfer</t>
        </r>
      </text>
    </comment>
    <comment ref="H106" authorId="0">
      <text>
        <r>
          <rPr>
            <b/>
            <sz val="8"/>
            <rFont val="Tahoma"/>
            <family val="0"/>
          </rPr>
          <t>Flexible CSV-based import and export functions supporting sites and links transfer</t>
        </r>
      </text>
    </comment>
    <comment ref="H107" authorId="0">
      <text>
        <r>
          <rPr>
            <b/>
            <sz val="8"/>
            <rFont val="Tahoma"/>
            <family val="0"/>
          </rPr>
          <t>Flexible CSV-based import and export functions supporting sites and links transfer</t>
        </r>
      </text>
    </comment>
    <comment ref="H108" authorId="0">
      <text>
        <r>
          <rPr>
            <b/>
            <sz val="8"/>
            <rFont val="Tahoma"/>
            <family val="0"/>
          </rPr>
          <t>Ellipse database can be shared and accessed to anyone with preferred rights</t>
        </r>
      </text>
    </comment>
    <comment ref="H109" authorId="0">
      <text>
        <r>
          <rPr>
            <b/>
            <sz val="8"/>
            <rFont val="Tahoma"/>
            <family val="0"/>
          </rPr>
          <t>Ellipse database can be shared and accessed to anyone with preferred rights</t>
        </r>
      </text>
    </comment>
    <comment ref="H110" authorId="0">
      <text>
        <r>
          <rPr>
            <b/>
            <sz val="8"/>
            <rFont val="Tahoma"/>
            <family val="0"/>
          </rPr>
          <t>Ellipse database can be shared and accessed to anyone with preferred rights</t>
        </r>
      </text>
    </comment>
    <comment ref="H111" authorId="0">
      <text>
        <r>
          <rPr>
            <b/>
            <sz val="8"/>
            <rFont val="Tahoma"/>
            <family val="0"/>
          </rPr>
          <t>Flags and Comments fields facilitate an dreduce manpower for data management</t>
        </r>
      </text>
    </comment>
    <comment ref="H112" authorId="0">
      <text>
        <r>
          <rPr>
            <b/>
            <sz val="8"/>
            <rFont val="Tahoma"/>
            <family val="0"/>
          </rPr>
          <t>Easy access to the repository in the field thanks to the nomadic mode</t>
        </r>
      </text>
    </comment>
    <comment ref="G60" authorId="0">
      <text>
        <r>
          <rPr>
            <b/>
            <sz val="8"/>
            <rFont val="Tahoma"/>
            <family val="0"/>
          </rPr>
          <t>No Clutter Data Available</t>
        </r>
      </text>
    </comment>
    <comment ref="G75" authorId="0">
      <text>
        <r>
          <rPr>
            <b/>
            <sz val="8"/>
            <rFont val="Tahoma"/>
            <family val="0"/>
          </rPr>
          <t>No Clutter Data Available</t>
        </r>
      </text>
    </comment>
  </commentList>
</comments>
</file>

<file path=xl/comments6.xml><?xml version="1.0" encoding="utf-8"?>
<comments xmlns="http://schemas.openxmlformats.org/spreadsheetml/2006/main">
  <authors>
    <author> </author>
  </authors>
  <commentList>
    <comment ref="G29" authorId="0">
      <text>
        <r>
          <rPr>
            <b/>
            <sz val="8"/>
            <rFont val="Tahoma"/>
            <family val="0"/>
          </rPr>
          <t>Estimated market price for resolution between 20m and 50m</t>
        </r>
      </text>
    </comment>
    <comment ref="G19" authorId="0">
      <text>
        <r>
          <rPr>
            <b/>
            <sz val="8"/>
            <rFont val="Tahoma"/>
            <family val="0"/>
          </rPr>
          <t>Estimated market price for resolution between 20m and 50m</t>
        </r>
      </text>
    </comment>
  </commentList>
</comments>
</file>

<file path=xl/sharedStrings.xml><?xml version="1.0" encoding="utf-8"?>
<sst xmlns="http://schemas.openxmlformats.org/spreadsheetml/2006/main" count="304" uniqueCount="149">
  <si>
    <t>Simple Topology</t>
  </si>
  <si>
    <t>Average Topology</t>
  </si>
  <si>
    <t>Difficult Topology</t>
  </si>
  <si>
    <t>1m Resolution CD</t>
  </si>
  <si>
    <t>5m Resolution CD</t>
  </si>
  <si>
    <t>20m Resolution CD</t>
  </si>
  <si>
    <t>No CD</t>
  </si>
  <si>
    <t>Number of Path Surveys per Hop</t>
  </si>
  <si>
    <t>Path Engineering per Hop</t>
  </si>
  <si>
    <t>Number of Site Surveys per Hop (two sites per Hop)</t>
  </si>
  <si>
    <r>
      <t xml:space="preserve">                            Simple topology</t>
    </r>
    <r>
      <rPr>
        <sz val="10"/>
        <rFont val="Arial"/>
        <family val="0"/>
      </rPr>
      <t xml:space="preserve"> is defined as a small town or rural area, desert area, etc.</t>
    </r>
  </si>
  <si>
    <r>
      <t xml:space="preserve">    Average topology</t>
    </r>
    <r>
      <rPr>
        <sz val="10"/>
        <rFont val="Arial"/>
        <family val="0"/>
      </rPr>
      <t xml:space="preserve"> is found in most cities around the world.</t>
    </r>
  </si>
  <si>
    <t>NOTE: Although new cell-site may initially have up to 15 candidates, microwave path surveys are usually limited to top three candidates.</t>
  </si>
  <si>
    <t>NOTES</t>
  </si>
  <si>
    <r>
      <t xml:space="preserve">                              "</t>
    </r>
    <r>
      <rPr>
        <b/>
        <sz val="10"/>
        <rFont val="Arial"/>
        <family val="2"/>
      </rPr>
      <t>No Clutter Data</t>
    </r>
    <r>
      <rPr>
        <sz val="10"/>
        <rFont val="Arial"/>
        <family val="0"/>
      </rPr>
      <t>" means that only paper maps or GIS terrain data is used.</t>
    </r>
  </si>
  <si>
    <t>Green Field</t>
  </si>
  <si>
    <r>
      <t xml:space="preserve">                                                                                          Difficult topology</t>
    </r>
    <r>
      <rPr>
        <sz val="10"/>
        <rFont val="Arial"/>
        <family val="0"/>
      </rPr>
      <t xml:space="preserve"> is found in densly populated areas areas like downtown Manhattan, Rio De Janeiro, Hong-Kong, et.</t>
    </r>
  </si>
  <si>
    <t xml:space="preserve">                    Microwave Hops are in a higher frequency bands and relatively short (1-6 km).</t>
  </si>
  <si>
    <t>Urban</t>
  </si>
  <si>
    <t>Links to be designed</t>
  </si>
  <si>
    <t>Geodata</t>
  </si>
  <si>
    <t>area</t>
  </si>
  <si>
    <t>Very major cities</t>
  </si>
  <si>
    <t>5m</t>
  </si>
  <si>
    <t>20m</t>
  </si>
  <si>
    <t>50m</t>
  </si>
  <si>
    <t>100m</t>
  </si>
  <si>
    <t>Non urban</t>
  </si>
  <si>
    <t>Current</t>
  </si>
  <si>
    <t>Network</t>
  </si>
  <si>
    <t>% green field</t>
  </si>
  <si>
    <t>% existing networks</t>
  </si>
  <si>
    <t>Non Urban / symple topo</t>
  </si>
  <si>
    <t>Urban / average topo</t>
  </si>
  <si>
    <t>Very major cities / difficult Topo</t>
  </si>
  <si>
    <t>Cost of path survey</t>
  </si>
  <si>
    <t>Cost of Path engineering</t>
  </si>
  <si>
    <t>existing networks</t>
  </si>
  <si>
    <t>path suvey</t>
  </si>
  <si>
    <t>link engineering</t>
  </si>
  <si>
    <t>1m</t>
  </si>
  <si>
    <t>Path survey costs</t>
  </si>
  <si>
    <t>Path engineering</t>
  </si>
  <si>
    <t>green field</t>
  </si>
  <si>
    <t>Cost of Path survey</t>
  </si>
  <si>
    <t>Cost of Link engneering</t>
  </si>
  <si>
    <t>Geodata Description</t>
  </si>
  <si>
    <t>Cost of Path surveys</t>
  </si>
  <si>
    <t>with ELLIPSE</t>
  </si>
  <si>
    <t>Total</t>
  </si>
  <si>
    <t>Savings and Path surveys and Path engineering</t>
  </si>
  <si>
    <t>Link budget report</t>
  </si>
  <si>
    <t>Data exchange with LOS suppliers</t>
  </si>
  <si>
    <t>Data exchange within company</t>
  </si>
  <si>
    <t xml:space="preserve">Data management </t>
  </si>
  <si>
    <t>Unit</t>
  </si>
  <si>
    <t>Duration without ELLIPSE</t>
  </si>
  <si>
    <t>TOTAL in man days</t>
  </si>
  <si>
    <t>1M</t>
  </si>
  <si>
    <t>5M</t>
  </si>
  <si>
    <t>20M</t>
  </si>
  <si>
    <t>Savings in ELLIPSE (Man days)</t>
  </si>
  <si>
    <t>Current Geodata Description</t>
  </si>
  <si>
    <t>Work order</t>
  </si>
  <si>
    <t>Access to documents within deployment</t>
  </si>
  <si>
    <t>Data exchange with outsourced suppliers</t>
  </si>
  <si>
    <t>min / link</t>
  </si>
  <si>
    <t xml:space="preserve">Frequency application </t>
  </si>
  <si>
    <t>Bill of Materials</t>
  </si>
  <si>
    <t>Geodata area</t>
  </si>
  <si>
    <t>existing network</t>
  </si>
  <si>
    <t>Step #1</t>
  </si>
  <si>
    <t>Step #2</t>
  </si>
  <si>
    <t>Step #3</t>
  </si>
  <si>
    <t>Step #4</t>
  </si>
  <si>
    <t>Step #5</t>
  </si>
  <si>
    <t>Reports (duration / link)</t>
  </si>
  <si>
    <t>Non Urban / simple topo</t>
  </si>
  <si>
    <t>hr / month</t>
  </si>
  <si>
    <t>Cost of Geodata</t>
  </si>
  <si>
    <t>Resolution</t>
  </si>
  <si>
    <t>Price (€/km²)</t>
  </si>
  <si>
    <t>Area (km²)</t>
  </si>
  <si>
    <t>5m (2D)</t>
  </si>
  <si>
    <t>5m (3D)</t>
  </si>
  <si>
    <t>1m (3D)</t>
  </si>
  <si>
    <t>Source (ISTAR)</t>
  </si>
  <si>
    <t>Total Cost</t>
  </si>
  <si>
    <t>Cost of Path Engineering</t>
  </si>
  <si>
    <t>Licence ELLIPSE</t>
  </si>
  <si>
    <t>Description</t>
  </si>
  <si>
    <t>nb de licence</t>
  </si>
  <si>
    <t>Unit licence price</t>
  </si>
  <si>
    <t>ELLIPSE MW Planning</t>
  </si>
  <si>
    <t>option: Automatic channel allocation</t>
  </si>
  <si>
    <t>option: Transmission</t>
  </si>
  <si>
    <t>option: Point to Multipoint</t>
  </si>
  <si>
    <t>option: avanced point to multipoint</t>
  </si>
  <si>
    <t>TOTAL</t>
  </si>
  <si>
    <t>Discount</t>
  </si>
  <si>
    <t>Maintenance</t>
  </si>
  <si>
    <t>20M+</t>
  </si>
  <si>
    <t>Cost Savings with ELLIPSE (in €)</t>
  </si>
  <si>
    <t>Total per year</t>
  </si>
  <si>
    <t>without ELLIPSE</t>
  </si>
  <si>
    <t>Engineering costs</t>
  </si>
  <si>
    <t>Duration with
ELLIPSE</t>
  </si>
  <si>
    <t>Physical description for deployment</t>
  </si>
  <si>
    <t>Time to setup a link during the design phase</t>
  </si>
  <si>
    <t>This report is generally handed to the Regulation Authority for compliance with the spectrum usage</t>
  </si>
  <si>
    <t>Link budget report is used internally to keep a track of the specs of the link. It can be the base document for a site survey</t>
  </si>
  <si>
    <t>Document given to the deployment team. It compiles power data as well as equipment descriptions and setup paramaters for the link</t>
  </si>
  <si>
    <t>Internal document issued by the purchasing department based on planning recommendations</t>
  </si>
  <si>
    <t>Exhaustive list of equipment to power up the link</t>
  </si>
  <si>
    <t>Based on planning computations, site surveys must be done in the field and the results shall be logged into the network database</t>
  </si>
  <si>
    <t>Exchange of information between planning and other departments within the company</t>
  </si>
  <si>
    <t>Field engineering compares theoritical results with in the field measurements, and feed the database with relevent comments</t>
  </si>
  <si>
    <t xml:space="preserve">Retrieving, sorting, archiving, editing ... files </t>
  </si>
  <si>
    <t>Exchange of information between the company and the contractors/suppliers,…</t>
  </si>
  <si>
    <t>#Links designed per year</t>
  </si>
  <si>
    <t>COST SAVINGS ARE COMPUTED IN REAL-TIME AND ARE DISPLAYED IN RED IN THE TABLE BELOW</t>
  </si>
  <si>
    <t>TIME SAVINGS ARE COMPUTED IN REAL-TIME AND ARE DISPLAYED IN RED IN THE TABLE BELOW</t>
  </si>
  <si>
    <t>Description of the tasks</t>
  </si>
  <si>
    <t>This time includes: site positionning, LOS clearance, link budget, station positionning, equiment, antennae, frequency allocation,</t>
  </si>
  <si>
    <t xml:space="preserve"> interference analysis for the link and the network</t>
  </si>
  <si>
    <t>Fill in your own data and see what Ellipse Planning can save your company</t>
  </si>
  <si>
    <t>Follow the indications for each step and see for yourself the savings.</t>
  </si>
  <si>
    <t>New</t>
  </si>
  <si>
    <t>We buy data only if the resolution is better</t>
  </si>
  <si>
    <t>Note: Only yellow cells can be edited</t>
  </si>
  <si>
    <t>Resolution (m)</t>
  </si>
  <si>
    <t>Network Description</t>
  </si>
  <si>
    <t>Time Savings</t>
  </si>
  <si>
    <r>
      <t>1)</t>
    </r>
    <r>
      <rPr>
        <sz val="10"/>
        <color indexed="12"/>
        <rFont val="Tahoma"/>
        <family val="2"/>
      </rPr>
      <t xml:space="preserve"> Fill the number of links to be designed (yellow cells)</t>
    </r>
  </si>
  <si>
    <r>
      <t>1)</t>
    </r>
    <r>
      <rPr>
        <sz val="10"/>
        <color indexed="12"/>
        <rFont val="Tahoma"/>
        <family val="2"/>
      </rPr>
      <t xml:space="preserve"> Input Path Survey Cost</t>
    </r>
  </si>
  <si>
    <r>
      <t>2)</t>
    </r>
    <r>
      <rPr>
        <sz val="10"/>
        <color indexed="12"/>
        <rFont val="Tahoma"/>
        <family val="2"/>
      </rPr>
      <t xml:space="preserve"> Input Link Engineering Cost</t>
    </r>
  </si>
  <si>
    <r>
      <t>3)</t>
    </r>
    <r>
      <rPr>
        <sz val="10"/>
        <color indexed="12"/>
        <rFont val="Tahoma"/>
        <family val="2"/>
      </rPr>
      <t xml:space="preserve"> Input the number of links designed per year</t>
    </r>
  </si>
  <si>
    <r>
      <t>1)</t>
    </r>
    <r>
      <rPr>
        <sz val="10"/>
        <color indexed="12"/>
        <rFont val="Tahoma"/>
        <family val="2"/>
      </rPr>
      <t xml:space="preserve"> Input the Area of your field of study according to the suggested segmentation (yellow cells)</t>
    </r>
  </si>
  <si>
    <r>
      <t>2)</t>
    </r>
    <r>
      <rPr>
        <sz val="10"/>
        <color indexed="12"/>
        <rFont val="Tahoma"/>
        <family val="2"/>
      </rPr>
      <t xml:space="preserve"> Check the radio buttons to select the resolution of your current geodata</t>
    </r>
  </si>
  <si>
    <r>
      <t>1)</t>
    </r>
    <r>
      <rPr>
        <sz val="10"/>
        <color indexed="12"/>
        <rFont val="Tahoma"/>
        <family val="2"/>
      </rPr>
      <t xml:space="preserve"> Check the radio buttons to select the resolution of geodata you may want to work with</t>
    </r>
  </si>
  <si>
    <r>
      <t>1)</t>
    </r>
    <r>
      <rPr>
        <sz val="10"/>
        <color indexed="12"/>
        <rFont val="Tahoma"/>
        <family val="2"/>
      </rPr>
      <t xml:space="preserve"> Input the estimated duration for each task (yellow cells)</t>
    </r>
  </si>
  <si>
    <r>
      <t>2)</t>
    </r>
    <r>
      <rPr>
        <sz val="10"/>
        <color indexed="12"/>
        <rFont val="Tahoma"/>
        <family val="2"/>
      </rPr>
      <t xml:space="preserve"> Check or uncheck the boxes of the task you want to include in the calculation</t>
    </r>
  </si>
  <si>
    <t>Part II - Improve you efficiency (Time is Money)</t>
  </si>
  <si>
    <t>Part I - Lower your engineering costs (Spend less in surveys)</t>
  </si>
  <si>
    <t>Note :</t>
  </si>
  <si>
    <t>No Clutter Data (No CD) means that only paper maps or GIS terrain is used</t>
  </si>
  <si>
    <t>Simple Topology is defined as small town, rural area, desert area,…</t>
  </si>
  <si>
    <t>Average Topology is found in most cities around the world</t>
  </si>
  <si>
    <t>Difficult Topology is found in densely populated areas such as downtown Manhattan, Rio de Janeiro, Hong Kong</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</si>
</sst>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_(* #,##0.0_);_(* \(#,##0.0\);_(* &quot;-&quot;??_);_(@_)"/>
    <numFmt numFmtId="174" formatCode="_(* #,##0_);_(* \(#,##0\);_(* &quot;-&quot;??_);_(@_)"/>
    <numFmt numFmtId="175" formatCode="_([$€]* #,##0.00_);_([$€]* \(#,##0.00\);_([$€]* &quot;-&quot;??_);_(@_)"/>
    <numFmt numFmtId="176" formatCode="0.0000000"/>
    <numFmt numFmtId="177" formatCode="0.000000"/>
    <numFmt numFmtId="178" formatCode="0.00000"/>
    <numFmt numFmtId="179" formatCode="0.0000"/>
    <numFmt numFmtId="180" formatCode="0.000"/>
    <numFmt numFmtId="181" formatCode="0.0"/>
    <numFmt numFmtId="182" formatCode="_([$€]* #,##0.0_);_([$€]* \(#,##0.0\);_([$€]* &quot;-&quot;??_);_(@_)"/>
    <numFmt numFmtId="183" formatCode="_([$€]* #,##0_);_([$€]* \(#,##0\);_([$€]* &quot;-&quot;??_);_(@_)"/>
    <numFmt numFmtId="184" formatCode="0,%"/>
    <numFmt numFmtId="185" formatCode="0.0,%"/>
    <numFmt numFmtId="186" formatCode="0.00,%"/>
    <numFmt numFmtId="187" formatCode="_-* #,##0\ _F_-;\-* #,##0\ _F_-;_-* &quot;-&quot;??\ _F_-;_-@_-"/>
    <numFmt numFmtId="188" formatCode="_-* #,##0.00\ [$€-1]_-;\-* #,##0.00\ [$€-1]_-;_-* &quot;-&quot;??\ [$€-1]_-;_-@_-"/>
    <numFmt numFmtId="189" formatCode="0.0%"/>
    <numFmt numFmtId="190" formatCode="&quot;Vrai&quot;;&quot;Vrai&quot;;&quot;Faux&quot;"/>
    <numFmt numFmtId="191" formatCode="&quot;Actif&quot;;&quot;Actif&quot;;&quot;Inactif&quot;"/>
    <numFmt numFmtId="192" formatCode="#,##0.00\ [$€-1]"/>
    <numFmt numFmtId="193" formatCode="#,##0.00\ &quot;€&quot;"/>
  </numFmts>
  <fonts count="41">
    <font>
      <sz val="10"/>
      <name val="Arial"/>
      <family val="0"/>
    </font>
    <font>
      <sz val="8"/>
      <name val="Arial"/>
      <family val="0"/>
    </font>
    <font>
      <b/>
      <sz val="10"/>
      <name val="Arial"/>
      <family val="2"/>
    </font>
    <font>
      <b/>
      <u val="single"/>
      <sz val="10"/>
      <name val="Arial"/>
      <family val="2"/>
    </font>
    <font>
      <u val="single"/>
      <sz val="10"/>
      <color indexed="12"/>
      <name val="Arial"/>
      <family val="0"/>
    </font>
    <font>
      <u val="single"/>
      <sz val="10"/>
      <color indexed="36"/>
      <name val="Arial"/>
      <family val="0"/>
    </font>
    <font>
      <b/>
      <sz val="12"/>
      <name val="Arial"/>
      <family val="2"/>
    </font>
    <font>
      <b/>
      <sz val="8"/>
      <name val="Tahoma"/>
      <family val="0"/>
    </font>
    <font>
      <b/>
      <i/>
      <sz val="10"/>
      <name val="Arial"/>
      <family val="2"/>
    </font>
    <font>
      <sz val="8"/>
      <name val="Tahoma"/>
      <family val="2"/>
    </font>
    <font>
      <b/>
      <i/>
      <sz val="10"/>
      <color indexed="8"/>
      <name val="Tahoma"/>
      <family val="2"/>
    </font>
    <font>
      <b/>
      <sz val="10"/>
      <name val="Tahoma"/>
      <family val="2"/>
    </font>
    <font>
      <sz val="10"/>
      <name val="Tahoma"/>
      <family val="2"/>
    </font>
    <font>
      <i/>
      <sz val="8"/>
      <name val="Tahoma"/>
      <family val="2"/>
    </font>
    <font>
      <b/>
      <i/>
      <sz val="10"/>
      <name val="Tahoma"/>
      <family val="2"/>
    </font>
    <font>
      <i/>
      <sz val="8"/>
      <color indexed="9"/>
      <name val="Tahoma"/>
      <family val="2"/>
    </font>
    <font>
      <sz val="10"/>
      <color indexed="9"/>
      <name val="Tahoma"/>
      <family val="2"/>
    </font>
    <font>
      <b/>
      <sz val="10"/>
      <color indexed="9"/>
      <name val="Tahoma"/>
      <family val="2"/>
    </font>
    <font>
      <sz val="10"/>
      <color indexed="8"/>
      <name val="Tahoma"/>
      <family val="2"/>
    </font>
    <font>
      <b/>
      <sz val="10"/>
      <color indexed="8"/>
      <name val="Tahoma"/>
      <family val="2"/>
    </font>
    <font>
      <sz val="10"/>
      <color indexed="18"/>
      <name val="Tahoma"/>
      <family val="2"/>
    </font>
    <font>
      <b/>
      <sz val="10"/>
      <color indexed="18"/>
      <name val="Tahoma"/>
      <family val="2"/>
    </font>
    <font>
      <b/>
      <sz val="10"/>
      <color indexed="10"/>
      <name val="Tahoma"/>
      <family val="2"/>
    </font>
    <font>
      <i/>
      <sz val="8"/>
      <color indexed="8"/>
      <name val="Tahoma"/>
      <family val="2"/>
    </font>
    <font>
      <i/>
      <sz val="10"/>
      <color indexed="8"/>
      <name val="Tahoma"/>
      <family val="2"/>
    </font>
    <font>
      <b/>
      <sz val="10"/>
      <color indexed="9"/>
      <name val="Arial"/>
      <family val="2"/>
    </font>
    <font>
      <i/>
      <sz val="10"/>
      <name val="Tahoma"/>
      <family val="2"/>
    </font>
    <font>
      <sz val="10"/>
      <color indexed="12"/>
      <name val="Tahoma"/>
      <family val="2"/>
    </font>
    <font>
      <b/>
      <i/>
      <sz val="10"/>
      <color indexed="10"/>
      <name val="Tahoma"/>
      <family val="2"/>
    </font>
    <font>
      <b/>
      <sz val="14"/>
      <color indexed="10"/>
      <name val="Arial"/>
      <family val="2"/>
    </font>
    <font>
      <sz val="14"/>
      <name val="Arial"/>
      <family val="2"/>
    </font>
    <font>
      <b/>
      <sz val="10"/>
      <color indexed="12"/>
      <name val="Tahoma"/>
      <family val="2"/>
    </font>
    <font>
      <b/>
      <i/>
      <sz val="14"/>
      <color indexed="21"/>
      <name val="Tahoma"/>
      <family val="2"/>
    </font>
    <font>
      <sz val="10"/>
      <color indexed="10"/>
      <name val="Tahoma"/>
      <family val="2"/>
    </font>
    <font>
      <sz val="10"/>
      <color indexed="12"/>
      <name val="Arial"/>
      <family val="2"/>
    </font>
    <font>
      <b/>
      <sz val="10"/>
      <color indexed="12"/>
      <name val="Arial"/>
      <family val="2"/>
    </font>
    <font>
      <b/>
      <i/>
      <sz val="10"/>
      <color indexed="21"/>
      <name val="Tahoma"/>
      <family val="2"/>
    </font>
    <font>
      <b/>
      <sz val="12"/>
      <name val="Tahoma"/>
      <family val="2"/>
    </font>
    <font>
      <b/>
      <sz val="12"/>
      <color indexed="10"/>
      <name val="Arial"/>
      <family val="2"/>
    </font>
    <font>
      <sz val="12"/>
      <name val="Arial"/>
      <family val="2"/>
    </font>
    <font>
      <b/>
      <sz val="8"/>
      <name val="Arial"/>
      <family val="2"/>
    </font>
  </fonts>
  <fills count="8">
    <fill>
      <patternFill/>
    </fill>
    <fill>
      <patternFill patternType="gray125"/>
    </fill>
    <fill>
      <patternFill patternType="solid">
        <fgColor indexed="51"/>
        <bgColor indexed="64"/>
      </patternFill>
    </fill>
    <fill>
      <patternFill patternType="solid">
        <fgColor indexed="18"/>
        <bgColor indexed="64"/>
      </patternFill>
    </fill>
    <fill>
      <patternFill patternType="solid">
        <fgColor indexed="12"/>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1">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0" fillId="0" borderId="0" xfId="0" applyAlignment="1">
      <alignment horizontal="left" vertical="justify"/>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justify"/>
    </xf>
    <xf numFmtId="0" fontId="0" fillId="0" borderId="1" xfId="0" applyBorder="1" applyAlignment="1">
      <alignment vertical="center" textRotation="90"/>
    </xf>
    <xf numFmtId="0" fontId="0" fillId="0" borderId="2" xfId="0" applyBorder="1" applyAlignment="1">
      <alignment vertical="center" textRotation="90"/>
    </xf>
    <xf numFmtId="0" fontId="0" fillId="0" borderId="1" xfId="0" applyBorder="1" applyAlignment="1">
      <alignment horizontal="left" vertical="justify"/>
    </xf>
    <xf numFmtId="0" fontId="2" fillId="0" borderId="3"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vertical="center" textRotation="9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textRotation="90"/>
    </xf>
    <xf numFmtId="0" fontId="0" fillId="0" borderId="14" xfId="0" applyBorder="1" applyAlignment="1">
      <alignment vertical="center" textRotation="90"/>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 fillId="0" borderId="5"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0" xfId="0" applyFont="1" applyAlignment="1">
      <alignment horizontal="center"/>
    </xf>
    <xf numFmtId="0" fontId="2" fillId="0" borderId="4" xfId="0" applyFont="1" applyFill="1" applyBorder="1" applyAlignment="1">
      <alignment horizontal="center"/>
    </xf>
    <xf numFmtId="0" fontId="0" fillId="0" borderId="0" xfId="0" applyFill="1" applyBorder="1" applyAlignment="1">
      <alignment horizontal="right"/>
    </xf>
    <xf numFmtId="171" fontId="0" fillId="0" borderId="0" xfId="18" applyBorder="1" applyAlignment="1">
      <alignment/>
    </xf>
    <xf numFmtId="0" fontId="0" fillId="0" borderId="0" xfId="0" applyFill="1" applyBorder="1" applyAlignment="1">
      <alignment/>
    </xf>
    <xf numFmtId="0" fontId="8" fillId="0" borderId="0" xfId="0" applyFont="1" applyFill="1" applyBorder="1" applyAlignment="1">
      <alignment horizontal="right"/>
    </xf>
    <xf numFmtId="9" fontId="8" fillId="0" borderId="0" xfId="0" applyNumberFormat="1" applyFont="1" applyBorder="1" applyAlignment="1">
      <alignment/>
    </xf>
    <xf numFmtId="0" fontId="8" fillId="0" borderId="15" xfId="0" applyFont="1" applyFill="1" applyBorder="1" applyAlignment="1">
      <alignment horizontal="right"/>
    </xf>
    <xf numFmtId="9" fontId="8" fillId="0" borderId="17" xfId="0" applyNumberFormat="1" applyFont="1" applyBorder="1" applyAlignment="1">
      <alignment/>
    </xf>
    <xf numFmtId="0" fontId="2" fillId="0" borderId="3" xfId="0" applyFont="1" applyBorder="1" applyAlignment="1">
      <alignment horizontal="center" vertical="center" wrapText="1"/>
    </xf>
    <xf numFmtId="0" fontId="0" fillId="0" borderId="15" xfId="0" applyBorder="1" applyAlignment="1">
      <alignment horizontal="left"/>
    </xf>
    <xf numFmtId="0" fontId="8" fillId="0" borderId="15" xfId="0" applyFont="1" applyFill="1" applyBorder="1" applyAlignment="1">
      <alignment horizontal="left"/>
    </xf>
    <xf numFmtId="171" fontId="8" fillId="0" borderId="0" xfId="18" applyFont="1" applyBorder="1" applyAlignment="1">
      <alignment/>
    </xf>
    <xf numFmtId="171" fontId="8" fillId="0" borderId="17" xfId="18" applyFont="1" applyBorder="1" applyAlignment="1">
      <alignment/>
    </xf>
    <xf numFmtId="43" fontId="0" fillId="0" borderId="0" xfId="0" applyNumberFormat="1" applyAlignment="1">
      <alignment/>
    </xf>
    <xf numFmtId="0" fontId="2" fillId="0" borderId="0" xfId="0" applyFont="1" applyAlignment="1">
      <alignment/>
    </xf>
    <xf numFmtId="0" fontId="8" fillId="0" borderId="16" xfId="0" applyFont="1" applyFill="1" applyBorder="1" applyAlignment="1">
      <alignment horizontal="right"/>
    </xf>
    <xf numFmtId="9" fontId="8" fillId="0" borderId="18" xfId="0" applyNumberFormat="1" applyFont="1" applyBorder="1" applyAlignment="1">
      <alignment/>
    </xf>
    <xf numFmtId="9" fontId="8" fillId="0" borderId="19" xfId="0" applyNumberFormat="1" applyFont="1" applyBorder="1" applyAlignment="1">
      <alignment/>
    </xf>
    <xf numFmtId="0" fontId="8" fillId="0" borderId="16" xfId="0" applyFont="1" applyFill="1" applyBorder="1" applyAlignment="1">
      <alignment horizontal="left"/>
    </xf>
    <xf numFmtId="0" fontId="8" fillId="0" borderId="18" xfId="0" applyFont="1" applyFill="1" applyBorder="1" applyAlignment="1">
      <alignment horizontal="right"/>
    </xf>
    <xf numFmtId="171" fontId="8" fillId="0" borderId="18" xfId="18" applyFont="1" applyBorder="1" applyAlignment="1">
      <alignment/>
    </xf>
    <xf numFmtId="171" fontId="8" fillId="0" borderId="19" xfId="18" applyFont="1" applyBorder="1" applyAlignment="1">
      <alignment/>
    </xf>
    <xf numFmtId="0" fontId="10" fillId="2" borderId="0" xfId="0" applyFont="1" applyFill="1" applyAlignment="1">
      <alignment/>
    </xf>
    <xf numFmtId="0" fontId="11" fillId="0" borderId="0" xfId="0" applyFont="1" applyAlignment="1">
      <alignment/>
    </xf>
    <xf numFmtId="0" fontId="12" fillId="0" borderId="0" xfId="0" applyFont="1" applyAlignment="1">
      <alignment/>
    </xf>
    <xf numFmtId="0" fontId="12" fillId="0" borderId="15" xfId="0" applyFont="1" applyBorder="1" applyAlignment="1">
      <alignment/>
    </xf>
    <xf numFmtId="0" fontId="13" fillId="0" borderId="0" xfId="0" applyFont="1" applyAlignment="1">
      <alignment horizontal="left"/>
    </xf>
    <xf numFmtId="0" fontId="12" fillId="0" borderId="0" xfId="0" applyFont="1" applyBorder="1" applyAlignment="1">
      <alignment/>
    </xf>
    <xf numFmtId="0" fontId="14" fillId="0" borderId="15" xfId="0" applyFont="1" applyFill="1" applyBorder="1" applyAlignment="1">
      <alignment horizontal="right"/>
    </xf>
    <xf numFmtId="9" fontId="14" fillId="0" borderId="0" xfId="22" applyFont="1" applyBorder="1" applyAlignment="1">
      <alignment horizontal="center"/>
    </xf>
    <xf numFmtId="9" fontId="14" fillId="0" borderId="17" xfId="22" applyFont="1" applyBorder="1" applyAlignment="1">
      <alignment horizontal="center"/>
    </xf>
    <xf numFmtId="0" fontId="14" fillId="0" borderId="16" xfId="0" applyFont="1" applyFill="1" applyBorder="1" applyAlignment="1">
      <alignment horizontal="right"/>
    </xf>
    <xf numFmtId="9" fontId="14" fillId="0" borderId="18" xfId="0" applyNumberFormat="1" applyFont="1" applyBorder="1" applyAlignment="1">
      <alignment horizontal="center"/>
    </xf>
    <xf numFmtId="9" fontId="14" fillId="0" borderId="19" xfId="0" applyNumberFormat="1" applyFont="1" applyBorder="1" applyAlignment="1">
      <alignment horizontal="center"/>
    </xf>
    <xf numFmtId="0" fontId="13" fillId="0" borderId="0" xfId="0" applyFont="1" applyAlignment="1">
      <alignment horizontal="center"/>
    </xf>
    <xf numFmtId="0" fontId="15" fillId="0" borderId="0" xfId="0" applyFont="1" applyFill="1" applyAlignment="1">
      <alignment horizontal="center"/>
    </xf>
    <xf numFmtId="0" fontId="11" fillId="0" borderId="0" xfId="0" applyFont="1" applyFill="1" applyBorder="1" applyAlignment="1">
      <alignment horizontal="left"/>
    </xf>
    <xf numFmtId="0" fontId="16" fillId="0" borderId="0" xfId="0" applyFont="1" applyFill="1" applyAlignment="1">
      <alignment/>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Fill="1" applyBorder="1" applyAlignment="1">
      <alignment horizontal="center" vertical="center"/>
    </xf>
    <xf numFmtId="0" fontId="18" fillId="0" borderId="0" xfId="0" applyFont="1" applyAlignment="1">
      <alignment/>
    </xf>
    <xf numFmtId="0" fontId="16" fillId="0" borderId="0" xfId="0" applyFont="1" applyAlignment="1">
      <alignment/>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xf>
    <xf numFmtId="0" fontId="16" fillId="0" borderId="0" xfId="0" applyFont="1" applyFill="1" applyBorder="1" applyAlignment="1">
      <alignment/>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xf>
    <xf numFmtId="0" fontId="12" fillId="0" borderId="19" xfId="0" applyFont="1" applyBorder="1" applyAlignment="1">
      <alignment/>
    </xf>
    <xf numFmtId="0" fontId="18" fillId="0" borderId="0" xfId="0" applyFont="1" applyFill="1" applyAlignment="1">
      <alignment/>
    </xf>
    <xf numFmtId="0" fontId="19" fillId="0" borderId="0" xfId="0" applyFont="1" applyFill="1" applyBorder="1" applyAlignment="1">
      <alignment/>
    </xf>
    <xf numFmtId="0" fontId="20" fillId="0" borderId="5" xfId="0" applyFont="1" applyBorder="1" applyAlignment="1">
      <alignment/>
    </xf>
    <xf numFmtId="0" fontId="20" fillId="0" borderId="15" xfId="0" applyFont="1" applyBorder="1" applyAlignment="1">
      <alignment/>
    </xf>
    <xf numFmtId="0" fontId="21" fillId="0" borderId="15" xfId="0" applyFont="1" applyBorder="1" applyAlignment="1">
      <alignment/>
    </xf>
    <xf numFmtId="0" fontId="12" fillId="0" borderId="0" xfId="0" applyFont="1" applyAlignment="1">
      <alignment vertical="center" wrapText="1"/>
    </xf>
    <xf numFmtId="0" fontId="18" fillId="0" borderId="1" xfId="0" applyFont="1" applyBorder="1" applyAlignment="1">
      <alignment vertical="center" wrapText="1"/>
    </xf>
    <xf numFmtId="0" fontId="18" fillId="0" borderId="20" xfId="0" applyFont="1" applyBorder="1" applyAlignment="1">
      <alignment vertical="center" wrapText="1"/>
    </xf>
    <xf numFmtId="0" fontId="19" fillId="0" borderId="20" xfId="0" applyFont="1" applyBorder="1" applyAlignment="1">
      <alignment horizontal="center" vertical="center" wrapText="1"/>
    </xf>
    <xf numFmtId="0" fontId="18" fillId="0" borderId="3" xfId="0" applyFont="1" applyBorder="1" applyAlignment="1">
      <alignment vertical="center" wrapText="1"/>
    </xf>
    <xf numFmtId="0" fontId="18" fillId="0" borderId="3" xfId="0" applyFont="1" applyBorder="1" applyAlignment="1">
      <alignment/>
    </xf>
    <xf numFmtId="0" fontId="12" fillId="0" borderId="0" xfId="0" applyFont="1" applyAlignment="1">
      <alignment vertical="center"/>
    </xf>
    <xf numFmtId="0" fontId="18" fillId="0" borderId="0" xfId="0" applyFont="1" applyBorder="1" applyAlignment="1">
      <alignment/>
    </xf>
    <xf numFmtId="0" fontId="18" fillId="0" borderId="15" xfId="0" applyFont="1" applyBorder="1" applyAlignment="1">
      <alignment/>
    </xf>
    <xf numFmtId="0" fontId="18" fillId="0" borderId="18" xfId="0" applyFont="1" applyBorder="1" applyAlignment="1">
      <alignment/>
    </xf>
    <xf numFmtId="0" fontId="21" fillId="0" borderId="0" xfId="0" applyFont="1" applyBorder="1" applyAlignment="1">
      <alignment horizontal="center"/>
    </xf>
    <xf numFmtId="44" fontId="21" fillId="0" borderId="0" xfId="15" applyNumberFormat="1" applyFont="1" applyBorder="1" applyAlignment="1">
      <alignment horizontal="center"/>
    </xf>
    <xf numFmtId="0" fontId="22" fillId="0" borderId="18" xfId="0" applyFont="1" applyFill="1" applyBorder="1" applyAlignment="1">
      <alignment horizontal="center"/>
    </xf>
    <xf numFmtId="0" fontId="18" fillId="0" borderId="5" xfId="0" applyFont="1" applyBorder="1" applyAlignment="1">
      <alignment/>
    </xf>
    <xf numFmtId="0" fontId="18" fillId="0" borderId="0" xfId="0" applyFont="1" applyFill="1" applyBorder="1" applyAlignment="1">
      <alignment/>
    </xf>
    <xf numFmtId="0" fontId="23" fillId="0" borderId="0" xfId="0" applyFont="1" applyFill="1" applyBorder="1" applyAlignment="1">
      <alignment horizontal="center"/>
    </xf>
    <xf numFmtId="0" fontId="24" fillId="0" borderId="0" xfId="0" applyFont="1" applyBorder="1" applyAlignment="1">
      <alignment horizontal="right"/>
    </xf>
    <xf numFmtId="44" fontId="21" fillId="0" borderId="17" xfId="15" applyNumberFormat="1" applyFont="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right"/>
    </xf>
    <xf numFmtId="175" fontId="0" fillId="0" borderId="0" xfId="15" applyAlignment="1">
      <alignment/>
    </xf>
    <xf numFmtId="0" fontId="25" fillId="3" borderId="1" xfId="0" applyFont="1" applyFill="1" applyBorder="1" applyAlignment="1">
      <alignment horizontal="center"/>
    </xf>
    <xf numFmtId="0" fontId="25" fillId="3" borderId="20" xfId="0" applyFont="1" applyFill="1" applyBorder="1" applyAlignment="1">
      <alignment horizontal="center"/>
    </xf>
    <xf numFmtId="0" fontId="25" fillId="3" borderId="2" xfId="0" applyFont="1" applyFill="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0" fillId="0" borderId="5" xfId="0" applyBorder="1" applyAlignment="1">
      <alignment horizontal="center"/>
    </xf>
    <xf numFmtId="187" fontId="0" fillId="0" borderId="4" xfId="18" applyNumberFormat="1" applyBorder="1" applyAlignment="1">
      <alignment horizontal="center"/>
    </xf>
    <xf numFmtId="0" fontId="25" fillId="4" borderId="16" xfId="0" applyFont="1" applyFill="1" applyBorder="1" applyAlignment="1">
      <alignment horizontal="center"/>
    </xf>
    <xf numFmtId="0" fontId="25" fillId="4" borderId="18" xfId="0" applyFont="1" applyFill="1" applyBorder="1" applyAlignment="1">
      <alignment horizontal="center"/>
    </xf>
    <xf numFmtId="0" fontId="2" fillId="5" borderId="0" xfId="0" applyFont="1" applyFill="1" applyBorder="1" applyAlignment="1">
      <alignment horizontal="center"/>
    </xf>
    <xf numFmtId="9" fontId="2" fillId="5" borderId="0" xfId="0" applyNumberFormat="1" applyFont="1" applyFill="1" applyBorder="1" applyAlignment="1">
      <alignment horizontal="center"/>
    </xf>
    <xf numFmtId="188" fontId="0" fillId="0" borderId="0" xfId="15" applyNumberFormat="1" applyBorder="1" applyAlignment="1">
      <alignment/>
    </xf>
    <xf numFmtId="188" fontId="0" fillId="0" borderId="3" xfId="15" applyNumberFormat="1" applyBorder="1" applyAlignment="1">
      <alignment/>
    </xf>
    <xf numFmtId="188" fontId="0" fillId="0" borderId="4" xfId="15" applyNumberFormat="1" applyBorder="1" applyAlignment="1">
      <alignment/>
    </xf>
    <xf numFmtId="188" fontId="0" fillId="0" borderId="17" xfId="15" applyNumberFormat="1" applyBorder="1" applyAlignment="1">
      <alignment/>
    </xf>
    <xf numFmtId="187" fontId="0" fillId="0" borderId="3" xfId="18" applyNumberFormat="1" applyBorder="1" applyAlignment="1">
      <alignment horizontal="center"/>
    </xf>
    <xf numFmtId="187" fontId="0" fillId="0" borderId="0" xfId="18" applyNumberFormat="1" applyBorder="1" applyAlignment="1">
      <alignment/>
    </xf>
    <xf numFmtId="188" fontId="2" fillId="0" borderId="19" xfId="15" applyNumberFormat="1" applyFont="1" applyBorder="1" applyAlignment="1">
      <alignment/>
    </xf>
    <xf numFmtId="189" fontId="12" fillId="0" borderId="0" xfId="22" applyNumberFormat="1" applyFont="1" applyAlignment="1">
      <alignment/>
    </xf>
    <xf numFmtId="192" fontId="25" fillId="4" borderId="19" xfId="15" applyNumberFormat="1" applyFont="1" applyFill="1" applyBorder="1" applyAlignment="1">
      <alignment horizontal="center"/>
    </xf>
    <xf numFmtId="193" fontId="2" fillId="5" borderId="0" xfId="18" applyNumberFormat="1" applyFont="1" applyFill="1" applyBorder="1" applyAlignment="1">
      <alignment horizontal="center"/>
    </xf>
    <xf numFmtId="174" fontId="12" fillId="0" borderId="0" xfId="18" applyNumberFormat="1" applyFont="1" applyBorder="1" applyAlignment="1">
      <alignment horizontal="center"/>
    </xf>
    <xf numFmtId="174" fontId="12" fillId="0" borderId="0" xfId="18" applyNumberFormat="1" applyFont="1" applyBorder="1" applyAlignment="1">
      <alignment/>
    </xf>
    <xf numFmtId="0" fontId="18" fillId="0" borderId="0" xfId="0" applyFont="1" applyBorder="1" applyAlignment="1">
      <alignment/>
    </xf>
    <xf numFmtId="0" fontId="12" fillId="0" borderId="16"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Fill="1" applyBorder="1" applyAlignment="1">
      <alignment horizontal="right"/>
    </xf>
    <xf numFmtId="0" fontId="12" fillId="0" borderId="3" xfId="0" applyFont="1" applyBorder="1" applyAlignment="1">
      <alignment/>
    </xf>
    <xf numFmtId="0" fontId="12" fillId="0" borderId="0" xfId="0" applyFont="1" applyBorder="1" applyAlignment="1">
      <alignment horizontal="left"/>
    </xf>
    <xf numFmtId="0" fontId="14" fillId="0" borderId="0" xfId="0" applyFont="1" applyFill="1" applyBorder="1" applyAlignment="1">
      <alignment horizontal="left"/>
    </xf>
    <xf numFmtId="0" fontId="12" fillId="0" borderId="5" xfId="0" applyFont="1" applyBorder="1" applyAlignment="1">
      <alignment/>
    </xf>
    <xf numFmtId="0" fontId="12" fillId="0" borderId="16" xfId="0" applyFont="1" applyBorder="1" applyAlignment="1">
      <alignment/>
    </xf>
    <xf numFmtId="0" fontId="15" fillId="0" borderId="0" xfId="0" applyFont="1" applyAlignment="1">
      <alignment horizontal="left"/>
    </xf>
    <xf numFmtId="0" fontId="27" fillId="0" borderId="0" xfId="0" applyFont="1" applyAlignment="1">
      <alignment/>
    </xf>
    <xf numFmtId="0" fontId="22" fillId="0" borderId="0" xfId="0" applyFont="1" applyBorder="1" applyAlignment="1">
      <alignment horizontal="left" vertical="center"/>
    </xf>
    <xf numFmtId="0" fontId="28" fillId="0" borderId="1" xfId="0" applyFont="1" applyBorder="1" applyAlignment="1">
      <alignment/>
    </xf>
    <xf numFmtId="0" fontId="26" fillId="0" borderId="20" xfId="0" applyFont="1" applyBorder="1" applyAlignment="1">
      <alignment/>
    </xf>
    <xf numFmtId="0" fontId="28" fillId="0" borderId="0" xfId="0" applyFont="1" applyBorder="1" applyAlignment="1">
      <alignment/>
    </xf>
    <xf numFmtId="0" fontId="26" fillId="0" borderId="0" xfId="0" applyFont="1" applyBorder="1" applyAlignment="1">
      <alignment/>
    </xf>
    <xf numFmtId="44" fontId="28" fillId="0" borderId="0" xfId="15" applyNumberFormat="1" applyFont="1" applyBorder="1" applyAlignment="1">
      <alignment horizontal="center"/>
    </xf>
    <xf numFmtId="0" fontId="18" fillId="0" borderId="0" xfId="0" applyFont="1" applyBorder="1" applyAlignment="1">
      <alignment vertical="center" wrapText="1"/>
    </xf>
    <xf numFmtId="0" fontId="12" fillId="0" borderId="3" xfId="0" applyFont="1" applyBorder="1" applyAlignment="1">
      <alignment vertical="center"/>
    </xf>
    <xf numFmtId="0" fontId="12" fillId="0" borderId="4" xfId="0" applyFont="1" applyBorder="1" applyAlignment="1">
      <alignment/>
    </xf>
    <xf numFmtId="0" fontId="12" fillId="0" borderId="0" xfId="0" applyFont="1" applyBorder="1" applyAlignment="1">
      <alignment vertical="center"/>
    </xf>
    <xf numFmtId="0" fontId="31" fillId="0" borderId="0" xfId="0" applyFont="1" applyAlignment="1">
      <alignment/>
    </xf>
    <xf numFmtId="192" fontId="12" fillId="6" borderId="4" xfId="15" applyNumberFormat="1" applyFont="1" applyFill="1" applyBorder="1" applyAlignment="1" applyProtection="1">
      <alignment/>
      <protection locked="0"/>
    </xf>
    <xf numFmtId="192" fontId="12" fillId="6" borderId="17" xfId="15" applyNumberFormat="1" applyFont="1" applyFill="1" applyBorder="1" applyAlignment="1" applyProtection="1">
      <alignment/>
      <protection locked="0"/>
    </xf>
    <xf numFmtId="0" fontId="12" fillId="6" borderId="19" xfId="0" applyFont="1" applyFill="1" applyBorder="1" applyAlignment="1" applyProtection="1">
      <alignment horizontal="right"/>
      <protection locked="0"/>
    </xf>
    <xf numFmtId="0" fontId="12" fillId="6" borderId="0" xfId="0" applyFont="1" applyFill="1" applyBorder="1" applyAlignment="1" applyProtection="1">
      <alignment horizontal="center"/>
      <protection locked="0"/>
    </xf>
    <xf numFmtId="0" fontId="12" fillId="6" borderId="17" xfId="0" applyFont="1" applyFill="1" applyBorder="1" applyAlignment="1" applyProtection="1">
      <alignment horizontal="center"/>
      <protection locked="0"/>
    </xf>
    <xf numFmtId="0" fontId="13" fillId="0" borderId="0" xfId="0" applyFont="1" applyAlignment="1" applyProtection="1">
      <alignment horizontal="center"/>
      <protection locked="0"/>
    </xf>
    <xf numFmtId="0" fontId="15" fillId="0" borderId="0" xfId="0" applyFont="1" applyFill="1" applyAlignment="1" applyProtection="1">
      <alignment horizontal="center"/>
      <protection locked="0"/>
    </xf>
    <xf numFmtId="0" fontId="12" fillId="6" borderId="0" xfId="0" applyFont="1" applyFill="1" applyBorder="1" applyAlignment="1" applyProtection="1">
      <alignment horizontal="center" vertical="center" wrapText="1"/>
      <protection locked="0"/>
    </xf>
    <xf numFmtId="0" fontId="12" fillId="0" borderId="0" xfId="0" applyFont="1" applyBorder="1" applyAlignment="1" applyProtection="1">
      <alignment/>
      <protection locked="0"/>
    </xf>
    <xf numFmtId="0" fontId="12" fillId="0" borderId="17" xfId="0" applyFont="1" applyBorder="1" applyAlignment="1" applyProtection="1">
      <alignment/>
      <protection locked="0"/>
    </xf>
    <xf numFmtId="0" fontId="18" fillId="0" borderId="0" xfId="0" applyFont="1" applyAlignment="1" applyProtection="1">
      <alignment/>
      <protection locked="0"/>
    </xf>
    <xf numFmtId="0" fontId="12" fillId="6" borderId="18" xfId="0" applyFont="1" applyFill="1" applyBorder="1" applyAlignment="1" applyProtection="1">
      <alignment horizontal="center" vertical="center" wrapText="1"/>
      <protection locked="0"/>
    </xf>
    <xf numFmtId="0" fontId="12" fillId="0" borderId="18" xfId="0" applyFont="1" applyBorder="1" applyAlignment="1" applyProtection="1">
      <alignment/>
      <protection locked="0"/>
    </xf>
    <xf numFmtId="0" fontId="12" fillId="0" borderId="19" xfId="0" applyFont="1" applyBorder="1" applyAlignment="1" applyProtection="1">
      <alignment/>
      <protection locked="0"/>
    </xf>
    <xf numFmtId="0" fontId="16" fillId="0" borderId="0" xfId="0" applyFont="1" applyFill="1" applyBorder="1" applyAlignment="1" applyProtection="1">
      <alignment/>
      <protection locked="0"/>
    </xf>
    <xf numFmtId="0" fontId="17" fillId="0" borderId="0" xfId="0" applyFont="1" applyFill="1" applyBorder="1" applyAlignment="1" applyProtection="1">
      <alignment horizontal="left"/>
      <protection locked="0"/>
    </xf>
    <xf numFmtId="0" fontId="16" fillId="0" borderId="0" xfId="0" applyFont="1" applyFill="1" applyAlignment="1" applyProtection="1">
      <alignment/>
      <protection locked="0"/>
    </xf>
    <xf numFmtId="0" fontId="16" fillId="0" borderId="0" xfId="0" applyFont="1" applyAlignment="1" applyProtection="1">
      <alignment/>
      <protection locked="0"/>
    </xf>
    <xf numFmtId="0" fontId="17"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6" fillId="0" borderId="0" xfId="0" applyFont="1" applyAlignment="1" applyProtection="1">
      <alignment vertical="center" wrapText="1"/>
      <protection locked="0"/>
    </xf>
    <xf numFmtId="0" fontId="16" fillId="0" borderId="18" xfId="0" applyFont="1" applyBorder="1" applyAlignment="1" applyProtection="1">
      <alignment/>
      <protection locked="0"/>
    </xf>
    <xf numFmtId="0" fontId="12" fillId="0" borderId="0" xfId="0" applyFont="1" applyAlignment="1" applyProtection="1">
      <alignment vertical="center" wrapText="1"/>
      <protection locked="0"/>
    </xf>
    <xf numFmtId="2" fontId="16" fillId="0" borderId="0" xfId="0" applyNumberFormat="1" applyFont="1" applyBorder="1" applyAlignment="1" applyProtection="1">
      <alignment/>
      <protection locked="0"/>
    </xf>
    <xf numFmtId="0" fontId="27" fillId="0" borderId="0" xfId="0" applyFont="1" applyFill="1" applyAlignment="1">
      <alignment/>
    </xf>
    <xf numFmtId="0" fontId="27" fillId="0" borderId="0" xfId="0" applyFont="1" applyFill="1" applyBorder="1" applyAlignment="1">
      <alignment/>
    </xf>
    <xf numFmtId="0" fontId="18" fillId="6" borderId="0" xfId="0" applyFont="1" applyFill="1" applyAlignment="1">
      <alignment/>
    </xf>
    <xf numFmtId="0" fontId="16" fillId="0" borderId="0" xfId="0" applyFont="1" applyAlignment="1" applyProtection="1">
      <alignment/>
      <protection/>
    </xf>
    <xf numFmtId="0" fontId="16" fillId="0" borderId="0" xfId="0" applyFont="1" applyFill="1" applyAlignment="1" applyProtection="1">
      <alignment/>
      <protection/>
    </xf>
    <xf numFmtId="0" fontId="16"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32" fillId="0" borderId="0" xfId="0" applyFont="1" applyAlignment="1">
      <alignment/>
    </xf>
    <xf numFmtId="0" fontId="33" fillId="0" borderId="0" xfId="0" applyFont="1" applyAlignment="1">
      <alignment/>
    </xf>
    <xf numFmtId="0" fontId="36" fillId="0" borderId="15" xfId="0" applyFont="1" applyFill="1" applyBorder="1" applyAlignment="1">
      <alignment horizontal="right"/>
    </xf>
    <xf numFmtId="1" fontId="36" fillId="0" borderId="0" xfId="18" applyNumberFormat="1" applyFont="1" applyBorder="1" applyAlignment="1">
      <alignment horizontal="center"/>
    </xf>
    <xf numFmtId="1" fontId="36" fillId="0" borderId="17" xfId="18" applyNumberFormat="1" applyFont="1" applyBorder="1" applyAlignment="1">
      <alignment horizontal="center"/>
    </xf>
    <xf numFmtId="0" fontId="37" fillId="7" borderId="0" xfId="0" applyFont="1" applyFill="1" applyAlignment="1">
      <alignment/>
    </xf>
    <xf numFmtId="0" fontId="12" fillId="7" borderId="0" xfId="0" applyFont="1" applyFill="1" applyAlignment="1">
      <alignment/>
    </xf>
    <xf numFmtId="0" fontId="26" fillId="7" borderId="0" xfId="0" applyFont="1" applyFill="1" applyBorder="1" applyAlignment="1">
      <alignment/>
    </xf>
    <xf numFmtId="0" fontId="12" fillId="0" borderId="0" xfId="0" applyFont="1" applyFill="1" applyAlignment="1">
      <alignment/>
    </xf>
    <xf numFmtId="44" fontId="28" fillId="7" borderId="0" xfId="15"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9" fontId="0" fillId="0" borderId="3" xfId="22" applyBorder="1" applyAlignment="1">
      <alignment horizontal="center"/>
    </xf>
    <xf numFmtId="0" fontId="18" fillId="6" borderId="0" xfId="0" applyFont="1" applyFill="1" applyBorder="1" applyAlignment="1" applyProtection="1">
      <alignment horizontal="center"/>
      <protection locked="0"/>
    </xf>
    <xf numFmtId="0" fontId="18" fillId="0" borderId="0" xfId="0" applyFont="1" applyBorder="1" applyAlignment="1">
      <alignment horizontal="center"/>
    </xf>
    <xf numFmtId="0" fontId="18" fillId="0" borderId="17" xfId="0" applyFont="1" applyBorder="1" applyAlignment="1">
      <alignment horizontal="center"/>
    </xf>
    <xf numFmtId="44" fontId="28" fillId="0" borderId="20" xfId="15" applyNumberFormat="1" applyFont="1" applyBorder="1" applyAlignment="1">
      <alignment horizontal="center"/>
    </xf>
    <xf numFmtId="44" fontId="28" fillId="0" borderId="2" xfId="15" applyNumberFormat="1" applyFont="1" applyBorder="1" applyAlignment="1">
      <alignment horizontal="center"/>
    </xf>
    <xf numFmtId="44" fontId="20" fillId="0" borderId="0" xfId="15" applyNumberFormat="1" applyFont="1" applyBorder="1" applyAlignment="1">
      <alignment horizontal="center"/>
    </xf>
    <xf numFmtId="44" fontId="20" fillId="0" borderId="17" xfId="15" applyNumberFormat="1" applyFont="1" applyBorder="1" applyAlignment="1">
      <alignment horizontal="center"/>
    </xf>
    <xf numFmtId="44" fontId="21" fillId="0" borderId="0" xfId="15" applyNumberFormat="1" applyFont="1" applyBorder="1" applyAlignment="1">
      <alignment horizontal="center"/>
    </xf>
    <xf numFmtId="44" fontId="21" fillId="0" borderId="17" xfId="15" applyNumberFormat="1" applyFont="1" applyBorder="1" applyAlignment="1">
      <alignment horizontal="center"/>
    </xf>
    <xf numFmtId="1" fontId="20" fillId="0" borderId="0" xfId="0" applyNumberFormat="1" applyFont="1" applyBorder="1" applyAlignment="1">
      <alignment horizontal="center"/>
    </xf>
    <xf numFmtId="1" fontId="21" fillId="0" borderId="0" xfId="0" applyNumberFormat="1" applyFont="1" applyBorder="1" applyAlignment="1">
      <alignment horizontal="center"/>
    </xf>
    <xf numFmtId="1" fontId="21" fillId="0" borderId="17" xfId="0" applyNumberFormat="1" applyFont="1" applyBorder="1" applyAlignment="1">
      <alignment horizontal="center"/>
    </xf>
    <xf numFmtId="0" fontId="18" fillId="0" borderId="3" xfId="0" applyFont="1" applyFill="1" applyBorder="1" applyAlignment="1" applyProtection="1" quotePrefix="1">
      <alignment horizontal="center" vertical="center" wrapText="1"/>
      <protection/>
    </xf>
    <xf numFmtId="0" fontId="18" fillId="0" borderId="3" xfId="0" applyFont="1" applyFill="1" applyBorder="1" applyAlignment="1" applyProtection="1">
      <alignment horizontal="center" vertical="center" wrapText="1"/>
      <protection/>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6" borderId="18" xfId="0" applyFont="1" applyFill="1" applyBorder="1" applyAlignment="1" applyProtection="1">
      <alignment horizontal="center"/>
      <protection locked="0"/>
    </xf>
    <xf numFmtId="0" fontId="21" fillId="0" borderId="15" xfId="0" applyFont="1" applyBorder="1" applyAlignment="1">
      <alignment horizontal="center"/>
    </xf>
    <xf numFmtId="0" fontId="21" fillId="0" borderId="0" xfId="0" applyFont="1" applyBorder="1" applyAlignment="1">
      <alignment horizontal="center"/>
    </xf>
    <xf numFmtId="0" fontId="22" fillId="0" borderId="16" xfId="0" applyFont="1" applyFill="1" applyBorder="1" applyAlignment="1">
      <alignment horizontal="center"/>
    </xf>
    <xf numFmtId="0" fontId="22" fillId="0" borderId="18" xfId="0" applyFont="1" applyFill="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9" fillId="0" borderId="20"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3" xfId="0" applyFont="1" applyBorder="1" applyAlignment="1">
      <alignment horizontal="center"/>
    </xf>
    <xf numFmtId="0" fontId="21" fillId="0" borderId="4" xfId="0" applyFont="1" applyBorder="1" applyAlignment="1">
      <alignment horizontal="center"/>
    </xf>
    <xf numFmtId="0" fontId="0" fillId="0" borderId="0" xfId="0" applyFill="1" applyBorder="1" applyAlignment="1">
      <alignment horizontal="center"/>
    </xf>
    <xf numFmtId="0" fontId="6" fillId="0" borderId="0" xfId="0" applyFont="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135</xdr:row>
      <xdr:rowOff>95250</xdr:rowOff>
    </xdr:from>
    <xdr:to>
      <xdr:col>8</xdr:col>
      <xdr:colOff>695325</xdr:colOff>
      <xdr:row>152</xdr:row>
      <xdr:rowOff>0</xdr:rowOff>
    </xdr:to>
    <xdr:sp>
      <xdr:nvSpPr>
        <xdr:cNvPr id="1" name="TextBox 84"/>
        <xdr:cNvSpPr txBox="1">
          <a:spLocks noChangeArrowheads="1"/>
        </xdr:cNvSpPr>
      </xdr:nvSpPr>
      <xdr:spPr>
        <a:xfrm>
          <a:off x="638175" y="24222075"/>
          <a:ext cx="6819900" cy="2657475"/>
        </a:xfrm>
        <a:prstGeom prst="rect">
          <a:avLst/>
        </a:prstGeom>
        <a:gradFill rotWithShape="1">
          <a:gsLst>
            <a:gs pos="0">
              <a:srgbClr val="FFFF99"/>
            </a:gs>
            <a:gs pos="100000">
              <a:srgbClr val="00CCFF"/>
            </a:gs>
          </a:gsLst>
          <a:lin ang="2700000" scaled="1"/>
        </a:gra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This Business Case takes into account tangible earnings. Some built-in features can deliver also true benefits difficult to model, such as:</a:t>
          </a:r>
          <a:r>
            <a:rPr lang="en-US" cap="none" sz="1400" b="0" i="0" u="none" baseline="0">
              <a:latin typeface="Arial"/>
              <a:ea typeface="Arial"/>
              <a:cs typeface="Arial"/>
            </a:rPr>
            <a:t>
* Optimisation of frequency re-use leads to a better spectrum efficiency, thus reducing the price for spectrum, maintenance, spares,...
* Significant reduction of interferences leads to higher Quality of Service (QoS), improving the loyalty of the customers
* Detailed cost description of your transmission links (CapEx / OpEx) provides you with an accurate financial view of operating your network
* The Network Audit Wizard can select the optimum leased lines to be replaced by MW in a cost effective manner while maintaining your QoS</a:t>
          </a:r>
        </a:p>
      </xdr:txBody>
    </xdr:sp>
    <xdr:clientData/>
  </xdr:twoCellAnchor>
  <xdr:twoCellAnchor>
    <xdr:from>
      <xdr:col>5</xdr:col>
      <xdr:colOff>66675</xdr:colOff>
      <xdr:row>47</xdr:row>
      <xdr:rowOff>66675</xdr:rowOff>
    </xdr:from>
    <xdr:to>
      <xdr:col>5</xdr:col>
      <xdr:colOff>628650</xdr:colOff>
      <xdr:row>52</xdr:row>
      <xdr:rowOff>47625</xdr:rowOff>
    </xdr:to>
    <xdr:sp>
      <xdr:nvSpPr>
        <xdr:cNvPr id="2" name="Line 94"/>
        <xdr:cNvSpPr>
          <a:spLocks/>
        </xdr:cNvSpPr>
      </xdr:nvSpPr>
      <xdr:spPr>
        <a:xfrm flipH="1">
          <a:off x="4695825" y="7972425"/>
          <a:ext cx="561975" cy="800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43</xdr:row>
      <xdr:rowOff>0</xdr:rowOff>
    </xdr:from>
    <xdr:to>
      <xdr:col>7</xdr:col>
      <xdr:colOff>476250</xdr:colOff>
      <xdr:row>46</xdr:row>
      <xdr:rowOff>323850</xdr:rowOff>
    </xdr:to>
    <xdr:sp>
      <xdr:nvSpPr>
        <xdr:cNvPr id="3" name="TextBox 95"/>
        <xdr:cNvSpPr txBox="1">
          <a:spLocks noChangeArrowheads="1"/>
        </xdr:cNvSpPr>
      </xdr:nvSpPr>
      <xdr:spPr>
        <a:xfrm>
          <a:off x="5305425" y="7077075"/>
          <a:ext cx="11144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2)</a:t>
          </a:r>
          <a:r>
            <a:rPr lang="en-US" cap="none" sz="1000" b="0" i="0" u="none" baseline="0">
              <a:solidFill>
                <a:srgbClr val="0000FF"/>
              </a:solidFill>
              <a:latin typeface="Arial"/>
              <a:ea typeface="Arial"/>
              <a:cs typeface="Arial"/>
            </a:rPr>
            <a:t> Adjust with the scroll bars the proportion between Green Field and Existing Network</a:t>
          </a:r>
        </a:p>
      </xdr:txBody>
    </xdr:sp>
    <xdr:clientData/>
  </xdr:twoCellAnchor>
  <xdr:twoCellAnchor>
    <xdr:from>
      <xdr:col>1</xdr:col>
      <xdr:colOff>28575</xdr:colOff>
      <xdr:row>2</xdr:row>
      <xdr:rowOff>85725</xdr:rowOff>
    </xdr:from>
    <xdr:to>
      <xdr:col>8</xdr:col>
      <xdr:colOff>695325</xdr:colOff>
      <xdr:row>23</xdr:row>
      <xdr:rowOff>95250</xdr:rowOff>
    </xdr:to>
    <xdr:sp>
      <xdr:nvSpPr>
        <xdr:cNvPr id="4" name="TextBox 96"/>
        <xdr:cNvSpPr txBox="1">
          <a:spLocks noChangeArrowheads="1"/>
        </xdr:cNvSpPr>
      </xdr:nvSpPr>
      <xdr:spPr>
        <a:xfrm>
          <a:off x="638175" y="476250"/>
          <a:ext cx="6819900" cy="3409950"/>
        </a:xfrm>
        <a:prstGeom prst="rect">
          <a:avLst/>
        </a:prstGeom>
        <a:gradFill rotWithShape="1">
          <a:gsLst>
            <a:gs pos="0">
              <a:srgbClr val="FFFF99"/>
            </a:gs>
            <a:gs pos="100000">
              <a:srgbClr val="00CCFF"/>
            </a:gs>
          </a:gsLst>
          <a:lin ang="2700000" scaled="1"/>
        </a:gra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This Business Case intends to guide you through the savings you can make using Ellipse Microwave.
</a:t>
          </a:r>
          <a:r>
            <a:rPr lang="en-US" cap="none" sz="1200" b="0" i="0" u="none" baseline="0">
              <a:latin typeface="Arial"/>
              <a:ea typeface="Arial"/>
              <a:cs typeface="Arial"/>
            </a:rPr>
            <a:t>
The benefits are twofold :
</a:t>
          </a:r>
          <a:r>
            <a:rPr lang="en-US" cap="none" sz="1200" b="1" i="0" u="none" baseline="0">
              <a:latin typeface="Arial"/>
              <a:ea typeface="Arial"/>
              <a:cs typeface="Arial"/>
            </a:rPr>
            <a:t>Lowered engineering costs (Spend less in surveys)</a:t>
          </a:r>
          <a:r>
            <a:rPr lang="en-US" cap="none" sz="1200" b="0" i="0" u="none" baseline="0">
              <a:latin typeface="Arial"/>
              <a:ea typeface="Arial"/>
              <a:cs typeface="Arial"/>
            </a:rPr>
            <a:t>
Unrivaled computation engine along with Hi-Res geodata reduce the number of sites surveys to complete to find the right spot for your MW links. The first part of this Business Case will show you the economic impact of using Ellipse with different resolutions of geodata.
</a:t>
          </a:r>
          <a:r>
            <a:rPr lang="en-US" cap="none" sz="1200" b="1" i="0" u="none" baseline="0">
              <a:latin typeface="Arial"/>
              <a:ea typeface="Arial"/>
              <a:cs typeface="Arial"/>
            </a:rPr>
            <a:t>Improved efficiency (Time is Money)</a:t>
          </a:r>
          <a:r>
            <a:rPr lang="en-US" cap="none" sz="1200" b="0" i="0" u="none" baseline="0">
              <a:latin typeface="Arial"/>
              <a:ea typeface="Arial"/>
              <a:cs typeface="Arial"/>
            </a:rPr>
            <a:t>
Administrative tasks and data exchange with suppliers or contractors add limited value and often are tedious. Therefore the less time you spend on this, the more efficient you get. The second part of the business case will show you how much time you save while using our Data Management / Report Generation / One-Click Excel / ... features.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Feuil1">
    <tabColor indexed="43"/>
  </sheetPr>
  <dimension ref="A1:R134"/>
  <sheetViews>
    <sheetView showGridLines="0" tabSelected="1" workbookViewId="0" topLeftCell="A1">
      <selection activeCell="D115" sqref="D115"/>
    </sheetView>
  </sheetViews>
  <sheetFormatPr defaultColWidth="11.421875" defaultRowHeight="12.75"/>
  <cols>
    <col min="1" max="1" width="9.140625" style="60" customWidth="1"/>
    <col min="2" max="2" width="27.140625" style="60" customWidth="1"/>
    <col min="3" max="3" width="12.57421875" style="60" customWidth="1"/>
    <col min="4" max="4" width="10.7109375" style="60" customWidth="1"/>
    <col min="5" max="7" width="9.8515625" style="60" customWidth="1"/>
    <col min="8" max="8" width="12.28125" style="60" customWidth="1"/>
    <col min="9" max="9" width="12.00390625" style="60" customWidth="1"/>
    <col min="10" max="11" width="9.8515625" style="60" customWidth="1"/>
    <col min="12" max="14" width="11.421875" style="60" customWidth="1"/>
    <col min="15" max="15" width="2.7109375" style="60" customWidth="1"/>
    <col min="16" max="16384" width="11.421875" style="60" customWidth="1"/>
  </cols>
  <sheetData>
    <row r="1" ht="18">
      <c r="B1" s="193" t="s">
        <v>125</v>
      </c>
    </row>
    <row r="2" ht="12.75"/>
    <row r="3" ht="12.75"/>
    <row r="4" ht="12.75"/>
    <row r="5" ht="12.75"/>
    <row r="6" ht="12.75">
      <c r="B6" s="194"/>
    </row>
    <row r="7" ht="12.75">
      <c r="B7" s="194"/>
    </row>
    <row r="8" ht="12.75">
      <c r="B8" s="194"/>
    </row>
    <row r="9" ht="12.75">
      <c r="B9" s="194"/>
    </row>
    <row r="10" ht="12.75">
      <c r="B10" s="194"/>
    </row>
    <row r="11" ht="12.75">
      <c r="B11" s="194"/>
    </row>
    <row r="12" ht="12.75">
      <c r="B12" s="194"/>
    </row>
    <row r="13" ht="12.75">
      <c r="B13" s="194"/>
    </row>
    <row r="14" ht="12.75">
      <c r="B14" s="194"/>
    </row>
    <row r="15" ht="12.75">
      <c r="B15" s="194"/>
    </row>
    <row r="16" ht="12.75">
      <c r="B16" s="194"/>
    </row>
    <row r="17" ht="12.75">
      <c r="B17" s="194"/>
    </row>
    <row r="18" ht="12.75">
      <c r="B18" s="194"/>
    </row>
    <row r="19" ht="12.75">
      <c r="B19" s="194"/>
    </row>
    <row r="20" ht="12.75">
      <c r="B20" s="194"/>
    </row>
    <row r="21" ht="12.75">
      <c r="B21" s="194"/>
    </row>
    <row r="22" ht="12.75">
      <c r="B22" s="194"/>
    </row>
    <row r="23" ht="12.75">
      <c r="B23" s="194"/>
    </row>
    <row r="24" ht="12.75">
      <c r="B24" s="194"/>
    </row>
    <row r="25" ht="12.75">
      <c r="B25" s="194"/>
    </row>
    <row r="26" ht="12.75">
      <c r="B26" s="161" t="s">
        <v>126</v>
      </c>
    </row>
    <row r="27" ht="12.75"/>
    <row r="28" ht="12.75">
      <c r="B28" s="194" t="s">
        <v>129</v>
      </c>
    </row>
    <row r="29" ht="12.75"/>
    <row r="30" spans="2:8" ht="15">
      <c r="B30" s="198" t="s">
        <v>143</v>
      </c>
      <c r="C30" s="199"/>
      <c r="D30" s="199"/>
      <c r="E30" s="199"/>
      <c r="F30" s="199"/>
      <c r="G30" s="201"/>
      <c r="H30" s="201"/>
    </row>
    <row r="31" ht="12.75"/>
    <row r="32" spans="1:2" ht="12.75">
      <c r="A32" s="58" t="s">
        <v>71</v>
      </c>
      <c r="B32" s="161" t="s">
        <v>134</v>
      </c>
    </row>
    <row r="33" ht="12.75">
      <c r="B33" s="161" t="s">
        <v>135</v>
      </c>
    </row>
    <row r="34" ht="12.75">
      <c r="B34" s="161" t="s">
        <v>136</v>
      </c>
    </row>
    <row r="35" ht="12.75"/>
    <row r="36" ht="13.5" thickBot="1">
      <c r="B36" s="59" t="s">
        <v>105</v>
      </c>
    </row>
    <row r="37" spans="2:3" ht="12.75">
      <c r="B37" s="147" t="s">
        <v>44</v>
      </c>
      <c r="C37" s="162">
        <v>800</v>
      </c>
    </row>
    <row r="38" spans="2:3" ht="12.75">
      <c r="B38" s="61" t="s">
        <v>45</v>
      </c>
      <c r="C38" s="163">
        <v>150</v>
      </c>
    </row>
    <row r="39" spans="2:3" ht="13.5" thickBot="1">
      <c r="B39" s="148" t="s">
        <v>119</v>
      </c>
      <c r="C39" s="164">
        <v>300</v>
      </c>
    </row>
    <row r="40" ht="12.75">
      <c r="C40" s="143"/>
    </row>
    <row r="41" ht="12.75">
      <c r="C41" s="143"/>
    </row>
    <row r="42" ht="12.75">
      <c r="C42" s="143"/>
    </row>
    <row r="43" spans="1:3" ht="12.75">
      <c r="A43" s="58" t="s">
        <v>72</v>
      </c>
      <c r="B43" s="161" t="s">
        <v>133</v>
      </c>
      <c r="C43" s="143"/>
    </row>
    <row r="44" spans="2:3" ht="12.75">
      <c r="B44" s="150"/>
      <c r="C44" s="143"/>
    </row>
    <row r="45" ht="12.75"/>
    <row r="46" spans="2:12" ht="13.5" thickBot="1">
      <c r="B46" s="59" t="s">
        <v>131</v>
      </c>
      <c r="G46" s="63"/>
      <c r="H46" s="63"/>
      <c r="I46" s="63"/>
      <c r="J46" s="63"/>
      <c r="K46" s="63"/>
      <c r="L46" s="63"/>
    </row>
    <row r="47" spans="2:12" ht="26.25" thickBot="1">
      <c r="B47" s="140" t="s">
        <v>29</v>
      </c>
      <c r="C47" s="141" t="s">
        <v>22</v>
      </c>
      <c r="D47" s="141" t="s">
        <v>18</v>
      </c>
      <c r="E47" s="142" t="s">
        <v>27</v>
      </c>
      <c r="G47" s="139"/>
      <c r="H47" s="139"/>
      <c r="I47" s="139"/>
      <c r="J47" s="139"/>
      <c r="K47" s="139"/>
      <c r="L47" s="63"/>
    </row>
    <row r="48" spans="2:12" ht="12.75">
      <c r="B48" s="61" t="s">
        <v>19</v>
      </c>
      <c r="C48" s="165">
        <v>400</v>
      </c>
      <c r="D48" s="165">
        <v>150</v>
      </c>
      <c r="E48" s="166">
        <v>200</v>
      </c>
      <c r="F48" s="149">
        <f>SUM(C48:E48)</f>
        <v>750</v>
      </c>
      <c r="G48" s="145"/>
      <c r="H48" s="63"/>
      <c r="I48" s="135"/>
      <c r="J48" s="136"/>
      <c r="K48" s="136"/>
      <c r="L48" s="63"/>
    </row>
    <row r="49" spans="2:12" ht="12.75">
      <c r="B49" s="195" t="s">
        <v>43</v>
      </c>
      <c r="C49" s="196">
        <f>+$C$48*C51</f>
        <v>196</v>
      </c>
      <c r="D49" s="196">
        <f>$D$48*D51</f>
        <v>94.5</v>
      </c>
      <c r="E49" s="197">
        <f>$E$48*E51</f>
        <v>166</v>
      </c>
      <c r="F49" s="62"/>
      <c r="G49" s="145"/>
      <c r="H49" s="63"/>
      <c r="I49" s="135"/>
      <c r="J49" s="136"/>
      <c r="K49" s="136"/>
      <c r="L49" s="63"/>
    </row>
    <row r="50" spans="2:12" ht="12.75">
      <c r="B50" s="195" t="s">
        <v>37</v>
      </c>
      <c r="C50" s="196">
        <f>$C$48*C52</f>
        <v>204</v>
      </c>
      <c r="D50" s="196">
        <f>$D$48*D52</f>
        <v>55.5</v>
      </c>
      <c r="E50" s="197">
        <f>$E$48*E52</f>
        <v>34.00000000000001</v>
      </c>
      <c r="F50" s="62"/>
      <c r="G50" s="145"/>
      <c r="H50" s="63"/>
      <c r="I50" s="135"/>
      <c r="J50" s="136"/>
      <c r="K50" s="136"/>
      <c r="L50" s="63"/>
    </row>
    <row r="51" spans="2:12" ht="12.75">
      <c r="B51" s="64" t="s">
        <v>30</v>
      </c>
      <c r="C51" s="65">
        <f>C54/100</f>
        <v>0.49</v>
      </c>
      <c r="D51" s="65">
        <f>D54/100</f>
        <v>0.63</v>
      </c>
      <c r="E51" s="66">
        <f>E54/100</f>
        <v>0.83</v>
      </c>
      <c r="G51" s="146"/>
      <c r="H51" s="63"/>
      <c r="I51" s="63"/>
      <c r="J51" s="63"/>
      <c r="K51" s="63"/>
      <c r="L51" s="63"/>
    </row>
    <row r="52" spans="2:12" ht="13.5" thickBot="1">
      <c r="B52" s="67" t="s">
        <v>31</v>
      </c>
      <c r="C52" s="68">
        <f>1-C51</f>
        <v>0.51</v>
      </c>
      <c r="D52" s="68">
        <f>1-D51</f>
        <v>0.37</v>
      </c>
      <c r="E52" s="69">
        <f>1-E51</f>
        <v>0.17000000000000004</v>
      </c>
      <c r="G52" s="146"/>
      <c r="H52" s="63"/>
      <c r="I52" s="63"/>
      <c r="J52" s="63"/>
      <c r="K52" s="63"/>
      <c r="L52" s="63"/>
    </row>
    <row r="53" spans="3:5" ht="14.25" customHeight="1">
      <c r="C53" s="167"/>
      <c r="D53" s="167"/>
      <c r="E53" s="167"/>
    </row>
    <row r="54" spans="3:17" ht="14.25" customHeight="1">
      <c r="C54" s="168">
        <v>49</v>
      </c>
      <c r="D54" s="168">
        <v>63</v>
      </c>
      <c r="E54" s="168">
        <v>83</v>
      </c>
      <c r="L54" s="78"/>
      <c r="M54" s="78"/>
      <c r="N54" s="78"/>
      <c r="O54" s="78"/>
      <c r="P54" s="78"/>
      <c r="Q54" s="78"/>
    </row>
    <row r="55" spans="3:17" ht="14.25" customHeight="1">
      <c r="C55" s="71"/>
      <c r="D55" s="71"/>
      <c r="E55" s="71"/>
      <c r="L55" s="78"/>
      <c r="M55" s="78"/>
      <c r="N55" s="78"/>
      <c r="O55" s="78"/>
      <c r="P55" s="78"/>
      <c r="Q55" s="78"/>
    </row>
    <row r="56" spans="1:17" ht="14.25" customHeight="1">
      <c r="A56" s="58" t="s">
        <v>73</v>
      </c>
      <c r="B56" s="161" t="s">
        <v>137</v>
      </c>
      <c r="C56" s="71"/>
      <c r="D56" s="71"/>
      <c r="E56" s="71"/>
      <c r="L56" s="78"/>
      <c r="M56" s="78"/>
      <c r="N56" s="78"/>
      <c r="O56" s="78"/>
      <c r="P56" s="78"/>
      <c r="Q56" s="78"/>
    </row>
    <row r="57" spans="2:17" ht="14.25" customHeight="1">
      <c r="B57" s="161" t="s">
        <v>138</v>
      </c>
      <c r="C57" s="71"/>
      <c r="D57" s="71"/>
      <c r="E57" s="71"/>
      <c r="L57" s="78"/>
      <c r="M57" s="78"/>
      <c r="N57" s="78"/>
      <c r="O57" s="78"/>
      <c r="P57" s="78"/>
      <c r="Q57" s="78"/>
    </row>
    <row r="58" spans="3:17" ht="14.25" customHeight="1">
      <c r="C58" s="71"/>
      <c r="D58" s="71"/>
      <c r="E58" s="71"/>
      <c r="J58" s="189"/>
      <c r="K58" s="189"/>
      <c r="L58" s="189"/>
      <c r="M58" s="189"/>
      <c r="N58" s="189"/>
      <c r="O58" s="189"/>
      <c r="P58" s="189"/>
      <c r="Q58" s="78"/>
    </row>
    <row r="59" spans="2:18" ht="13.5" thickBot="1">
      <c r="B59" s="72" t="s">
        <v>62</v>
      </c>
      <c r="H59" s="73"/>
      <c r="I59" s="186"/>
      <c r="J59" s="177" t="s">
        <v>62</v>
      </c>
      <c r="K59" s="178"/>
      <c r="L59" s="178"/>
      <c r="M59" s="178"/>
      <c r="N59" s="178"/>
      <c r="O59" s="178"/>
      <c r="P59" s="179"/>
      <c r="Q59" s="150"/>
      <c r="R59" s="150"/>
    </row>
    <row r="60" spans="2:18" ht="25.5" customHeight="1">
      <c r="B60" s="74" t="s">
        <v>20</v>
      </c>
      <c r="C60" s="75" t="s">
        <v>82</v>
      </c>
      <c r="D60" s="75" t="s">
        <v>58</v>
      </c>
      <c r="E60" s="75" t="s">
        <v>59</v>
      </c>
      <c r="F60" s="75" t="s">
        <v>101</v>
      </c>
      <c r="G60" s="76" t="s">
        <v>6</v>
      </c>
      <c r="H60" s="77"/>
      <c r="I60" s="186"/>
      <c r="J60" s="180" t="s">
        <v>20</v>
      </c>
      <c r="K60" s="180" t="s">
        <v>21</v>
      </c>
      <c r="L60" s="180" t="s">
        <v>58</v>
      </c>
      <c r="M60" s="180" t="s">
        <v>59</v>
      </c>
      <c r="N60" s="180" t="s">
        <v>60</v>
      </c>
      <c r="O60" s="180" t="s">
        <v>6</v>
      </c>
      <c r="P60" s="178"/>
      <c r="Q60" s="150"/>
      <c r="R60" s="150"/>
    </row>
    <row r="61" spans="2:18" ht="25.5" customHeight="1">
      <c r="B61" s="79" t="s">
        <v>34</v>
      </c>
      <c r="C61" s="169">
        <v>500</v>
      </c>
      <c r="D61" s="170"/>
      <c r="E61" s="170"/>
      <c r="F61" s="170"/>
      <c r="G61" s="171"/>
      <c r="H61" s="172"/>
      <c r="I61" s="186"/>
      <c r="J61" s="176" t="s">
        <v>34</v>
      </c>
      <c r="K61" s="176"/>
      <c r="L61" s="176">
        <f>IF($P61=1,1,0)</f>
        <v>0</v>
      </c>
      <c r="M61" s="176">
        <f>IF($P61=2,1,0)</f>
        <v>0</v>
      </c>
      <c r="N61" s="176">
        <f>IF($P61=3,1,0)</f>
        <v>0</v>
      </c>
      <c r="O61" s="176">
        <f>IF($P61=4,1,0)</f>
        <v>1</v>
      </c>
      <c r="P61" s="178">
        <v>4</v>
      </c>
      <c r="Q61" s="150"/>
      <c r="R61" s="150"/>
    </row>
    <row r="62" spans="2:18" ht="25.5" customHeight="1">
      <c r="B62" s="79" t="s">
        <v>33</v>
      </c>
      <c r="C62" s="169">
        <v>5000</v>
      </c>
      <c r="D62" s="170"/>
      <c r="E62" s="170"/>
      <c r="F62" s="170"/>
      <c r="G62" s="171"/>
      <c r="H62" s="172"/>
      <c r="I62" s="186"/>
      <c r="J62" s="176" t="s">
        <v>33</v>
      </c>
      <c r="K62" s="176"/>
      <c r="L62" s="176">
        <f>IF($P62=1,1,0)</f>
        <v>0</v>
      </c>
      <c r="M62" s="176">
        <f>IF($P62=2,1,0)</f>
        <v>0</v>
      </c>
      <c r="N62" s="176">
        <f>IF($P62=3,1,0)</f>
        <v>0</v>
      </c>
      <c r="O62" s="176">
        <f>IF($P62=4,1,0)</f>
        <v>1</v>
      </c>
      <c r="P62" s="178">
        <v>4</v>
      </c>
      <c r="Q62" s="150"/>
      <c r="R62" s="150"/>
    </row>
    <row r="63" spans="2:18" ht="26.25" customHeight="1" thickBot="1">
      <c r="B63" s="83" t="s">
        <v>77</v>
      </c>
      <c r="C63" s="173">
        <v>200000</v>
      </c>
      <c r="D63" s="174"/>
      <c r="E63" s="174"/>
      <c r="F63" s="174"/>
      <c r="G63" s="175"/>
      <c r="H63" s="172"/>
      <c r="I63" s="186"/>
      <c r="J63" s="176" t="s">
        <v>32</v>
      </c>
      <c r="K63" s="176"/>
      <c r="L63" s="176">
        <f>IF($P63=1,1,0)</f>
        <v>0</v>
      </c>
      <c r="M63" s="176">
        <f>IF($P63=2,1,0)</f>
        <v>0</v>
      </c>
      <c r="N63" s="176">
        <f>IF($P63=3,1,0)</f>
        <v>0</v>
      </c>
      <c r="O63" s="176">
        <f>IF($P63=4,1,0)</f>
        <v>1</v>
      </c>
      <c r="P63" s="178">
        <v>4</v>
      </c>
      <c r="Q63" s="150"/>
      <c r="R63" s="150"/>
    </row>
    <row r="64" spans="3:18" ht="12.75">
      <c r="C64" s="70"/>
      <c r="D64" s="70"/>
      <c r="E64" s="70"/>
      <c r="H64" s="87"/>
      <c r="I64" s="187"/>
      <c r="J64" s="176"/>
      <c r="K64" s="181"/>
      <c r="L64" s="181"/>
      <c r="M64" s="181"/>
      <c r="N64" s="176"/>
      <c r="O64" s="178"/>
      <c r="P64" s="179"/>
      <c r="Q64" s="150"/>
      <c r="R64" s="150"/>
    </row>
    <row r="65" spans="2:18" ht="12.75">
      <c r="B65" s="203" t="s">
        <v>144</v>
      </c>
      <c r="C65" s="70"/>
      <c r="D65" s="70"/>
      <c r="E65" s="70"/>
      <c r="H65" s="87"/>
      <c r="I65" s="187"/>
      <c r="J65" s="176"/>
      <c r="K65" s="181"/>
      <c r="L65" s="181"/>
      <c r="M65" s="181"/>
      <c r="N65" s="176"/>
      <c r="O65" s="178"/>
      <c r="P65" s="179"/>
      <c r="Q65" s="150"/>
      <c r="R65" s="150"/>
    </row>
    <row r="66" spans="2:18" ht="12.75">
      <c r="B66" s="60" t="s">
        <v>145</v>
      </c>
      <c r="C66" s="70"/>
      <c r="D66" s="70"/>
      <c r="E66" s="70"/>
      <c r="H66" s="87"/>
      <c r="I66" s="187"/>
      <c r="J66" s="176"/>
      <c r="K66" s="181"/>
      <c r="L66" s="181"/>
      <c r="M66" s="181"/>
      <c r="N66" s="176"/>
      <c r="O66" s="178"/>
      <c r="P66" s="179"/>
      <c r="Q66" s="150"/>
      <c r="R66" s="150"/>
    </row>
    <row r="67" spans="2:18" ht="12.75">
      <c r="B67" s="60" t="s">
        <v>146</v>
      </c>
      <c r="C67" s="70"/>
      <c r="D67" s="70"/>
      <c r="E67" s="70"/>
      <c r="H67" s="87"/>
      <c r="I67" s="187"/>
      <c r="J67" s="176"/>
      <c r="K67" s="181"/>
      <c r="L67" s="181"/>
      <c r="M67" s="181"/>
      <c r="N67" s="176"/>
      <c r="O67" s="178"/>
      <c r="P67" s="179"/>
      <c r="Q67" s="150"/>
      <c r="R67" s="150"/>
    </row>
    <row r="68" spans="2:18" ht="12.75">
      <c r="B68" s="60" t="s">
        <v>147</v>
      </c>
      <c r="C68" s="70"/>
      <c r="D68" s="70"/>
      <c r="E68" s="70"/>
      <c r="H68" s="87"/>
      <c r="I68" s="187"/>
      <c r="J68" s="176"/>
      <c r="K68" s="181"/>
      <c r="L68" s="181"/>
      <c r="M68" s="181"/>
      <c r="N68" s="176"/>
      <c r="O68" s="178"/>
      <c r="P68" s="179"/>
      <c r="Q68" s="150"/>
      <c r="R68" s="150"/>
    </row>
    <row r="69" spans="2:18" ht="12.75">
      <c r="B69" s="60" t="s">
        <v>148</v>
      </c>
      <c r="C69" s="70"/>
      <c r="D69" s="70"/>
      <c r="E69" s="70"/>
      <c r="H69" s="87"/>
      <c r="I69" s="187"/>
      <c r="J69" s="176"/>
      <c r="K69" s="181"/>
      <c r="L69" s="181"/>
      <c r="M69" s="181"/>
      <c r="N69" s="176"/>
      <c r="O69" s="178"/>
      <c r="P69" s="179"/>
      <c r="Q69" s="150"/>
      <c r="R69" s="150"/>
    </row>
    <row r="70" spans="3:18" ht="12.75">
      <c r="C70" s="70"/>
      <c r="D70" s="70"/>
      <c r="E70" s="70"/>
      <c r="H70" s="87"/>
      <c r="I70" s="187"/>
      <c r="J70" s="176"/>
      <c r="K70" s="181"/>
      <c r="L70" s="181"/>
      <c r="M70" s="181"/>
      <c r="N70" s="176"/>
      <c r="O70" s="178"/>
      <c r="P70" s="179"/>
      <c r="Q70" s="150"/>
      <c r="R70" s="150"/>
    </row>
    <row r="71" spans="3:18" ht="12.75">
      <c r="C71" s="70"/>
      <c r="D71" s="70"/>
      <c r="E71" s="70"/>
      <c r="H71" s="87"/>
      <c r="I71" s="187"/>
      <c r="J71" s="191"/>
      <c r="K71" s="192"/>
      <c r="L71" s="192"/>
      <c r="M71" s="192"/>
      <c r="N71" s="191"/>
      <c r="O71" s="190"/>
      <c r="P71" s="189"/>
      <c r="Q71" s="150"/>
      <c r="R71" s="150"/>
    </row>
    <row r="72" spans="1:18" ht="12.75">
      <c r="A72" s="58" t="s">
        <v>74</v>
      </c>
      <c r="B72" s="161" t="s">
        <v>139</v>
      </c>
      <c r="C72" s="70"/>
      <c r="D72" s="70"/>
      <c r="E72" s="70"/>
      <c r="H72" s="87"/>
      <c r="I72" s="82"/>
      <c r="J72" s="191"/>
      <c r="K72" s="192"/>
      <c r="L72" s="192"/>
      <c r="M72" s="192"/>
      <c r="N72" s="191"/>
      <c r="O72" s="190"/>
      <c r="P72" s="189"/>
      <c r="Q72" s="78"/>
      <c r="R72" s="77"/>
    </row>
    <row r="73" spans="3:18" ht="12.75">
      <c r="C73" s="70"/>
      <c r="D73" s="70"/>
      <c r="E73" s="70"/>
      <c r="H73" s="87"/>
      <c r="I73" s="82"/>
      <c r="J73" s="191"/>
      <c r="K73" s="192"/>
      <c r="L73" s="192"/>
      <c r="M73" s="192"/>
      <c r="N73" s="191"/>
      <c r="O73" s="190"/>
      <c r="P73" s="189"/>
      <c r="Q73" s="78"/>
      <c r="R73" s="77"/>
    </row>
    <row r="74" spans="2:18" ht="13.5" thickBot="1">
      <c r="B74" s="72" t="s">
        <v>46</v>
      </c>
      <c r="H74" s="87"/>
      <c r="I74" s="176"/>
      <c r="J74" s="177" t="s">
        <v>46</v>
      </c>
      <c r="K74" s="176"/>
      <c r="L74" s="176"/>
      <c r="M74" s="176"/>
      <c r="N74" s="176"/>
      <c r="O74" s="178"/>
      <c r="P74" s="179"/>
      <c r="Q74" s="179"/>
      <c r="R74" s="77"/>
    </row>
    <row r="75" spans="2:18" ht="25.5" customHeight="1">
      <c r="B75" s="74" t="s">
        <v>69</v>
      </c>
      <c r="C75" s="75" t="s">
        <v>82</v>
      </c>
      <c r="D75" s="75" t="s">
        <v>58</v>
      </c>
      <c r="E75" s="75" t="s">
        <v>59</v>
      </c>
      <c r="F75" s="75" t="s">
        <v>101</v>
      </c>
      <c r="G75" s="76" t="s">
        <v>6</v>
      </c>
      <c r="H75" s="77"/>
      <c r="I75" s="178"/>
      <c r="J75" s="180" t="s">
        <v>20</v>
      </c>
      <c r="K75" s="180" t="s">
        <v>21</v>
      </c>
      <c r="L75" s="180" t="s">
        <v>58</v>
      </c>
      <c r="M75" s="180" t="s">
        <v>59</v>
      </c>
      <c r="N75" s="180" t="s">
        <v>60</v>
      </c>
      <c r="O75" s="180" t="s">
        <v>6</v>
      </c>
      <c r="P75" s="178"/>
      <c r="Q75" s="179"/>
      <c r="R75" s="77"/>
    </row>
    <row r="76" spans="2:18" ht="25.5" customHeight="1">
      <c r="B76" s="79" t="s">
        <v>34</v>
      </c>
      <c r="C76" s="80">
        <f>C61</f>
        <v>500</v>
      </c>
      <c r="D76" s="170"/>
      <c r="E76" s="170"/>
      <c r="F76" s="170"/>
      <c r="G76" s="171"/>
      <c r="H76" s="172"/>
      <c r="I76" s="178"/>
      <c r="J76" s="176" t="s">
        <v>34</v>
      </c>
      <c r="K76" s="176"/>
      <c r="L76" s="176">
        <f>IF($P76=1,1,0)</f>
        <v>0</v>
      </c>
      <c r="M76" s="176">
        <f>IF($P76=2,1,0)</f>
        <v>1</v>
      </c>
      <c r="N76" s="176">
        <f>IF($P76=3,1,0)</f>
        <v>0</v>
      </c>
      <c r="O76" s="176">
        <f>IF($P76=4,1,0)</f>
        <v>0</v>
      </c>
      <c r="P76" s="178">
        <v>2</v>
      </c>
      <c r="Q76" s="179"/>
      <c r="R76" s="77"/>
    </row>
    <row r="77" spans="2:18" ht="25.5" customHeight="1">
      <c r="B77" s="79" t="s">
        <v>33</v>
      </c>
      <c r="C77" s="80">
        <f>C62</f>
        <v>5000</v>
      </c>
      <c r="D77" s="170"/>
      <c r="E77" s="170"/>
      <c r="F77" s="170"/>
      <c r="G77" s="171"/>
      <c r="H77" s="172"/>
      <c r="I77" s="178"/>
      <c r="J77" s="176" t="s">
        <v>33</v>
      </c>
      <c r="K77" s="176"/>
      <c r="L77" s="176">
        <f>IF($P77=1,1,0)</f>
        <v>0</v>
      </c>
      <c r="M77" s="176">
        <f>IF($P77=2,1,0)</f>
        <v>0</v>
      </c>
      <c r="N77" s="176">
        <f>IF($P77=3,1,0)</f>
        <v>1</v>
      </c>
      <c r="O77" s="176">
        <f>IF($P77=4,1,0)</f>
        <v>0</v>
      </c>
      <c r="P77" s="178">
        <v>3</v>
      </c>
      <c r="Q77" s="179"/>
      <c r="R77" s="77"/>
    </row>
    <row r="78" spans="2:18" ht="26.25" customHeight="1" thickBot="1">
      <c r="B78" s="83" t="s">
        <v>77</v>
      </c>
      <c r="C78" s="84">
        <f>C63</f>
        <v>200000</v>
      </c>
      <c r="D78" s="174"/>
      <c r="E78" s="174"/>
      <c r="F78" s="174"/>
      <c r="G78" s="175"/>
      <c r="H78" s="172"/>
      <c r="I78" s="178"/>
      <c r="J78" s="176" t="s">
        <v>32</v>
      </c>
      <c r="K78" s="176"/>
      <c r="L78" s="176">
        <f>IF($P78=1,1,0)</f>
        <v>0</v>
      </c>
      <c r="M78" s="176">
        <f>IF($P78=2,1,0)</f>
        <v>0</v>
      </c>
      <c r="N78" s="176">
        <f>IF($P78=3,1,0)</f>
        <v>0</v>
      </c>
      <c r="O78" s="176">
        <f>IF($P78=4,1,0)</f>
        <v>1</v>
      </c>
      <c r="P78" s="178">
        <v>4</v>
      </c>
      <c r="Q78" s="179"/>
      <c r="R78" s="77"/>
    </row>
    <row r="79" spans="2:18" ht="26.25" customHeight="1">
      <c r="B79" s="80"/>
      <c r="C79" s="80"/>
      <c r="D79" s="63"/>
      <c r="E79" s="63"/>
      <c r="F79" s="63"/>
      <c r="G79" s="63"/>
      <c r="H79" s="77"/>
      <c r="I79" s="73"/>
      <c r="J79" s="191"/>
      <c r="K79" s="191"/>
      <c r="L79" s="191"/>
      <c r="M79" s="191"/>
      <c r="N79" s="191"/>
      <c r="O79" s="191"/>
      <c r="P79" s="190"/>
      <c r="Q79" s="78"/>
      <c r="R79" s="77"/>
    </row>
    <row r="80" spans="2:18" ht="26.25" customHeight="1">
      <c r="B80" s="151" t="s">
        <v>120</v>
      </c>
      <c r="C80" s="80"/>
      <c r="D80" s="63"/>
      <c r="E80" s="63"/>
      <c r="F80" s="63"/>
      <c r="G80" s="63"/>
      <c r="H80" s="77"/>
      <c r="I80" s="73"/>
      <c r="J80" s="82"/>
      <c r="K80" s="82"/>
      <c r="L80" s="82"/>
      <c r="M80" s="82"/>
      <c r="N80" s="82"/>
      <c r="O80" s="82"/>
      <c r="P80" s="73"/>
      <c r="Q80" s="78"/>
      <c r="R80" s="77"/>
    </row>
    <row r="81" spans="2:18" ht="13.5" thickBot="1">
      <c r="B81" s="88" t="s">
        <v>50</v>
      </c>
      <c r="H81" s="77"/>
      <c r="I81" s="78"/>
      <c r="J81" s="78"/>
      <c r="K81" s="78"/>
      <c r="L81" s="78"/>
      <c r="M81" s="78"/>
      <c r="N81" s="78"/>
      <c r="O81" s="78"/>
      <c r="P81" s="78"/>
      <c r="Q81" s="78"/>
      <c r="R81" s="77"/>
    </row>
    <row r="82" spans="2:18" ht="12.75">
      <c r="B82" s="89"/>
      <c r="C82" s="233" t="s">
        <v>104</v>
      </c>
      <c r="D82" s="233"/>
      <c r="E82" s="233" t="s">
        <v>48</v>
      </c>
      <c r="F82" s="234"/>
      <c r="H82" s="77"/>
      <c r="I82" s="77"/>
      <c r="J82" s="77"/>
      <c r="K82" s="77"/>
      <c r="L82" s="78"/>
      <c r="M82" s="78"/>
      <c r="N82" s="78"/>
      <c r="O82" s="78"/>
      <c r="P82" s="78"/>
      <c r="Q82" s="78"/>
      <c r="R82" s="77"/>
    </row>
    <row r="83" spans="2:18" ht="12.75">
      <c r="B83" s="90" t="s">
        <v>47</v>
      </c>
      <c r="C83" s="211">
        <f>+current!H21</f>
        <v>1864400</v>
      </c>
      <c r="D83" s="211"/>
      <c r="E83" s="211">
        <f>new!H21</f>
        <v>1305600</v>
      </c>
      <c r="F83" s="212"/>
      <c r="H83" s="77"/>
      <c r="I83" s="77"/>
      <c r="J83" s="77"/>
      <c r="K83" s="77"/>
      <c r="L83" s="77"/>
      <c r="M83" s="77"/>
      <c r="N83" s="77"/>
      <c r="O83" s="77"/>
      <c r="P83" s="77"/>
      <c r="Q83" s="77"/>
      <c r="R83" s="77"/>
    </row>
    <row r="84" spans="2:18" ht="12.75">
      <c r="B84" s="90" t="s">
        <v>88</v>
      </c>
      <c r="C84" s="211">
        <f>+current!H22</f>
        <v>349575</v>
      </c>
      <c r="D84" s="211"/>
      <c r="E84" s="211">
        <f>new!H22</f>
        <v>215400</v>
      </c>
      <c r="F84" s="212"/>
      <c r="H84" s="77"/>
      <c r="I84" s="77"/>
      <c r="J84" s="77"/>
      <c r="K84" s="77"/>
      <c r="L84" s="77"/>
      <c r="M84" s="77"/>
      <c r="N84" s="77"/>
      <c r="O84" s="77"/>
      <c r="P84" s="77"/>
      <c r="Q84" s="77"/>
      <c r="R84" s="77"/>
    </row>
    <row r="85" spans="2:18" ht="12.75">
      <c r="B85" s="90" t="s">
        <v>79</v>
      </c>
      <c r="C85" s="211">
        <v>0</v>
      </c>
      <c r="D85" s="211"/>
      <c r="E85" s="211">
        <f>Geodata!K38</f>
        <v>13750</v>
      </c>
      <c r="F85" s="212"/>
      <c r="H85" s="77"/>
      <c r="I85" s="77"/>
      <c r="J85" s="77"/>
      <c r="K85" s="77"/>
      <c r="L85" s="77"/>
      <c r="M85" s="77"/>
      <c r="N85" s="77"/>
      <c r="O85" s="77"/>
      <c r="P85" s="77"/>
      <c r="Q85" s="77"/>
      <c r="R85" s="77"/>
    </row>
    <row r="86" spans="2:6" ht="12.75">
      <c r="B86" s="91" t="s">
        <v>49</v>
      </c>
      <c r="C86" s="213">
        <f>SUM(C83:D84)</f>
        <v>2213975</v>
      </c>
      <c r="D86" s="213"/>
      <c r="E86" s="213">
        <f>SUM(E83:F85)</f>
        <v>1534750</v>
      </c>
      <c r="F86" s="214"/>
    </row>
    <row r="87" spans="2:6" ht="13.5" thickBot="1">
      <c r="B87" s="91"/>
      <c r="C87" s="103"/>
      <c r="D87" s="103"/>
      <c r="E87" s="103"/>
      <c r="F87" s="109"/>
    </row>
    <row r="88" spans="2:7" ht="13.5" thickBot="1">
      <c r="B88" s="152" t="s">
        <v>102</v>
      </c>
      <c r="C88" s="153"/>
      <c r="D88" s="209">
        <f>C86-E86</f>
        <v>679225</v>
      </c>
      <c r="E88" s="209"/>
      <c r="F88" s="210"/>
      <c r="G88" s="132"/>
    </row>
    <row r="89" spans="2:7" ht="12.75">
      <c r="B89" s="154"/>
      <c r="C89" s="155"/>
      <c r="D89" s="156"/>
      <c r="E89" s="156"/>
      <c r="F89" s="156"/>
      <c r="G89" s="132"/>
    </row>
    <row r="90" spans="2:7" ht="12.75">
      <c r="B90" s="154"/>
      <c r="C90" s="155"/>
      <c r="D90" s="156"/>
      <c r="E90" s="156"/>
      <c r="F90" s="156"/>
      <c r="G90" s="132"/>
    </row>
    <row r="91" spans="2:7" ht="12.75">
      <c r="B91" s="154"/>
      <c r="C91" s="155"/>
      <c r="D91" s="156"/>
      <c r="E91" s="156"/>
      <c r="F91" s="156"/>
      <c r="G91" s="132"/>
    </row>
    <row r="92" spans="2:7" ht="15">
      <c r="B92" s="198" t="s">
        <v>142</v>
      </c>
      <c r="C92" s="200"/>
      <c r="D92" s="202"/>
      <c r="E92" s="202"/>
      <c r="F92" s="156"/>
      <c r="G92" s="132"/>
    </row>
    <row r="93" spans="2:7" ht="12.75">
      <c r="B93" s="154"/>
      <c r="C93" s="155"/>
      <c r="D93" s="156"/>
      <c r="E93" s="156"/>
      <c r="F93" s="156"/>
      <c r="G93" s="132"/>
    </row>
    <row r="94" spans="1:7" ht="12.75">
      <c r="A94" s="58" t="s">
        <v>75</v>
      </c>
      <c r="B94" s="161" t="s">
        <v>140</v>
      </c>
      <c r="C94" s="155"/>
      <c r="D94" s="156"/>
      <c r="E94" s="156"/>
      <c r="F94" s="156"/>
      <c r="G94" s="132"/>
    </row>
    <row r="95" spans="2:7" ht="12.75">
      <c r="B95" s="161" t="s">
        <v>141</v>
      </c>
      <c r="C95" s="155"/>
      <c r="D95" s="156"/>
      <c r="E95" s="156"/>
      <c r="F95" s="156"/>
      <c r="G95" s="132"/>
    </row>
    <row r="96" ht="12.75"/>
    <row r="97" ht="12.75">
      <c r="B97" s="151" t="s">
        <v>121</v>
      </c>
    </row>
    <row r="98" ht="12.75"/>
    <row r="99" spans="2:8" ht="13.5" thickBot="1">
      <c r="B99" s="88" t="s">
        <v>132</v>
      </c>
      <c r="C99" s="77"/>
      <c r="D99" s="77"/>
      <c r="E99" s="77"/>
      <c r="F99" s="77"/>
      <c r="G99" s="77"/>
      <c r="H99" s="77"/>
    </row>
    <row r="100" spans="1:9" s="92" customFormat="1" ht="29.25" customHeight="1" thickBot="1">
      <c r="A100" s="184"/>
      <c r="B100" s="93"/>
      <c r="C100" s="94"/>
      <c r="D100" s="95" t="s">
        <v>55</v>
      </c>
      <c r="E100" s="95"/>
      <c r="F100" s="231" t="s">
        <v>56</v>
      </c>
      <c r="G100" s="231"/>
      <c r="H100" s="231" t="s">
        <v>106</v>
      </c>
      <c r="I100" s="232"/>
    </row>
    <row r="101" spans="1:10" s="92" customFormat="1" ht="14.25" customHeight="1">
      <c r="A101" s="185" t="b">
        <v>0</v>
      </c>
      <c r="B101" s="105" t="s">
        <v>108</v>
      </c>
      <c r="C101" s="96"/>
      <c r="D101" s="97" t="s">
        <v>66</v>
      </c>
      <c r="E101" s="182">
        <f>IF(A101,1,0)</f>
        <v>0</v>
      </c>
      <c r="F101" s="218">
        <f>0</f>
        <v>0</v>
      </c>
      <c r="G101" s="219"/>
      <c r="H101" s="220">
        <v>-45</v>
      </c>
      <c r="I101" s="221"/>
      <c r="J101" s="98"/>
    </row>
    <row r="102" spans="1:9" ht="12.75">
      <c r="A102" s="179"/>
      <c r="B102" s="100" t="s">
        <v>76</v>
      </c>
      <c r="C102" s="99"/>
      <c r="D102" s="99"/>
      <c r="E102" s="179"/>
      <c r="F102" s="207"/>
      <c r="G102" s="207"/>
      <c r="H102" s="207"/>
      <c r="I102" s="208"/>
    </row>
    <row r="103" spans="1:9" ht="12.75">
      <c r="A103" s="185" t="b">
        <v>1</v>
      </c>
      <c r="B103" s="100"/>
      <c r="C103" s="108" t="s">
        <v>67</v>
      </c>
      <c r="D103" s="99" t="s">
        <v>66</v>
      </c>
      <c r="E103" s="179">
        <f aca="true" t="shared" si="0" ref="E103:E112">IF(A103,1,0)</f>
        <v>1</v>
      </c>
      <c r="F103" s="206">
        <v>10</v>
      </c>
      <c r="G103" s="206"/>
      <c r="H103" s="207">
        <v>1</v>
      </c>
      <c r="I103" s="208"/>
    </row>
    <row r="104" spans="1:9" ht="12.75">
      <c r="A104" s="185" t="b">
        <v>1</v>
      </c>
      <c r="B104" s="100"/>
      <c r="C104" s="108" t="s">
        <v>51</v>
      </c>
      <c r="D104" s="99" t="s">
        <v>66</v>
      </c>
      <c r="E104" s="179">
        <f t="shared" si="0"/>
        <v>1</v>
      </c>
      <c r="F104" s="206">
        <v>5</v>
      </c>
      <c r="G104" s="206"/>
      <c r="H104" s="207">
        <v>1</v>
      </c>
      <c r="I104" s="208"/>
    </row>
    <row r="105" spans="1:9" ht="12.75">
      <c r="A105" s="185" t="b">
        <v>1</v>
      </c>
      <c r="B105" s="100"/>
      <c r="C105" s="108" t="s">
        <v>107</v>
      </c>
      <c r="D105" s="99" t="s">
        <v>66</v>
      </c>
      <c r="E105" s="179">
        <f t="shared" si="0"/>
        <v>1</v>
      </c>
      <c r="F105" s="206">
        <v>5</v>
      </c>
      <c r="G105" s="206"/>
      <c r="H105" s="207">
        <v>1</v>
      </c>
      <c r="I105" s="208"/>
    </row>
    <row r="106" spans="1:9" ht="12.75">
      <c r="A106" s="185" t="b">
        <v>1</v>
      </c>
      <c r="B106" s="100"/>
      <c r="C106" s="108" t="s">
        <v>63</v>
      </c>
      <c r="D106" s="99" t="s">
        <v>66</v>
      </c>
      <c r="E106" s="179">
        <f t="shared" si="0"/>
        <v>1</v>
      </c>
      <c r="F106" s="206">
        <v>10</v>
      </c>
      <c r="G106" s="206"/>
      <c r="H106" s="207">
        <v>1</v>
      </c>
      <c r="I106" s="208"/>
    </row>
    <row r="107" spans="1:9" ht="12.75">
      <c r="A107" s="185" t="b">
        <v>1</v>
      </c>
      <c r="B107" s="100"/>
      <c r="C107" s="108" t="s">
        <v>68</v>
      </c>
      <c r="D107" s="99" t="s">
        <v>66</v>
      </c>
      <c r="E107" s="179">
        <f t="shared" si="0"/>
        <v>1</v>
      </c>
      <c r="F107" s="206">
        <v>5</v>
      </c>
      <c r="G107" s="206"/>
      <c r="H107" s="207">
        <v>1</v>
      </c>
      <c r="I107" s="208"/>
    </row>
    <row r="108" spans="1:9" ht="12.75">
      <c r="A108" s="185" t="b">
        <v>1</v>
      </c>
      <c r="B108" s="100" t="s">
        <v>52</v>
      </c>
      <c r="C108" s="99"/>
      <c r="D108" s="99" t="s">
        <v>66</v>
      </c>
      <c r="E108" s="179">
        <f t="shared" si="0"/>
        <v>1</v>
      </c>
      <c r="F108" s="206">
        <v>5</v>
      </c>
      <c r="G108" s="206"/>
      <c r="H108" s="207">
        <v>1</v>
      </c>
      <c r="I108" s="208"/>
    </row>
    <row r="109" spans="1:9" ht="12.75">
      <c r="A109" s="185" t="b">
        <v>0</v>
      </c>
      <c r="B109" s="100" t="s">
        <v>53</v>
      </c>
      <c r="C109" s="99"/>
      <c r="D109" s="99" t="s">
        <v>66</v>
      </c>
      <c r="E109" s="179">
        <f t="shared" si="0"/>
        <v>0</v>
      </c>
      <c r="F109" s="206">
        <v>25</v>
      </c>
      <c r="G109" s="206"/>
      <c r="H109" s="207">
        <v>1</v>
      </c>
      <c r="I109" s="208"/>
    </row>
    <row r="110" spans="1:9" ht="12.75">
      <c r="A110" s="185" t="b">
        <v>1</v>
      </c>
      <c r="B110" s="100" t="s">
        <v>65</v>
      </c>
      <c r="C110" s="99"/>
      <c r="D110" s="99" t="s">
        <v>66</v>
      </c>
      <c r="E110" s="179">
        <f t="shared" si="0"/>
        <v>1</v>
      </c>
      <c r="F110" s="206">
        <v>30</v>
      </c>
      <c r="G110" s="206"/>
      <c r="H110" s="207">
        <v>1</v>
      </c>
      <c r="I110" s="208"/>
    </row>
    <row r="111" spans="1:9" ht="12.75">
      <c r="A111" s="185" t="b">
        <v>1</v>
      </c>
      <c r="B111" s="100" t="s">
        <v>64</v>
      </c>
      <c r="C111" s="137"/>
      <c r="D111" s="99" t="s">
        <v>66</v>
      </c>
      <c r="E111" s="179">
        <f t="shared" si="0"/>
        <v>1</v>
      </c>
      <c r="F111" s="206">
        <v>10</v>
      </c>
      <c r="G111" s="206"/>
      <c r="H111" s="207">
        <v>5</v>
      </c>
      <c r="I111" s="208"/>
    </row>
    <row r="112" spans="1:9" ht="13.5" thickBot="1">
      <c r="A112" s="185" t="b">
        <v>0</v>
      </c>
      <c r="B112" s="138" t="s">
        <v>54</v>
      </c>
      <c r="C112" s="101"/>
      <c r="D112" s="101" t="s">
        <v>78</v>
      </c>
      <c r="E112" s="183">
        <f t="shared" si="0"/>
        <v>0</v>
      </c>
      <c r="F112" s="222">
        <v>32</v>
      </c>
      <c r="G112" s="222"/>
      <c r="H112" s="229">
        <v>0</v>
      </c>
      <c r="I112" s="230"/>
    </row>
    <row r="113" spans="2:11" ht="12.75" hidden="1">
      <c r="B113" s="223" t="s">
        <v>57</v>
      </c>
      <c r="C113" s="224"/>
      <c r="D113" s="224"/>
      <c r="E113" s="102"/>
      <c r="F113" s="216">
        <f>(SUMPRODUCT(E101:E111,F101:F111)*F48+A112*F112*60*12)/60/8</f>
        <v>125</v>
      </c>
      <c r="G113" s="216"/>
      <c r="H113" s="216">
        <f>(SUMPRODUCT(E101:E111,H101:H111)*F48+A112*H112*60*12)/60/8</f>
        <v>18.75</v>
      </c>
      <c r="I113" s="217"/>
      <c r="J113" s="215"/>
      <c r="K113" s="215"/>
    </row>
    <row r="114" spans="2:9" ht="13.5" thickBot="1">
      <c r="B114" s="225" t="s">
        <v>61</v>
      </c>
      <c r="C114" s="226"/>
      <c r="D114" s="226"/>
      <c r="E114" s="104"/>
      <c r="F114" s="227">
        <f>F113-H113</f>
        <v>106.25</v>
      </c>
      <c r="G114" s="227"/>
      <c r="H114" s="227"/>
      <c r="I114" s="228"/>
    </row>
    <row r="115" ht="12.75"/>
    <row r="116" ht="12.75"/>
    <row r="117" ht="13.5" thickBot="1">
      <c r="B117" s="59" t="s">
        <v>122</v>
      </c>
    </row>
    <row r="118" spans="2:15" ht="12.75">
      <c r="B118" s="105" t="s">
        <v>108</v>
      </c>
      <c r="C118" s="96"/>
      <c r="D118" s="144"/>
      <c r="E118" s="158" t="s">
        <v>123</v>
      </c>
      <c r="F118" s="144"/>
      <c r="G118" s="144"/>
      <c r="H118" s="144"/>
      <c r="I118" s="144"/>
      <c r="J118" s="144"/>
      <c r="K118" s="144"/>
      <c r="L118" s="144"/>
      <c r="M118" s="144"/>
      <c r="N118" s="144"/>
      <c r="O118" s="159"/>
    </row>
    <row r="119" spans="2:15" ht="12.75">
      <c r="B119" s="100"/>
      <c r="C119" s="157"/>
      <c r="D119" s="63"/>
      <c r="E119" s="160" t="s">
        <v>124</v>
      </c>
      <c r="F119" s="63"/>
      <c r="G119" s="63"/>
      <c r="H119" s="63"/>
      <c r="I119" s="63"/>
      <c r="J119" s="63"/>
      <c r="K119" s="63"/>
      <c r="L119" s="63"/>
      <c r="M119" s="63"/>
      <c r="N119" s="63"/>
      <c r="O119" s="81"/>
    </row>
    <row r="120" spans="2:15" ht="12.75">
      <c r="B120" s="100" t="s">
        <v>76</v>
      </c>
      <c r="C120" s="99"/>
      <c r="D120" s="63"/>
      <c r="E120" s="63"/>
      <c r="F120" s="63"/>
      <c r="G120" s="63"/>
      <c r="H120" s="63"/>
      <c r="I120" s="63"/>
      <c r="J120" s="63"/>
      <c r="K120" s="63"/>
      <c r="L120" s="63"/>
      <c r="M120" s="63"/>
      <c r="N120" s="63"/>
      <c r="O120" s="81"/>
    </row>
    <row r="121" spans="2:15" ht="12.75">
      <c r="B121" s="100"/>
      <c r="C121" s="108" t="s">
        <v>67</v>
      </c>
      <c r="D121" s="63"/>
      <c r="E121" s="63" t="s">
        <v>109</v>
      </c>
      <c r="F121" s="63"/>
      <c r="G121" s="63"/>
      <c r="H121" s="63"/>
      <c r="I121" s="63"/>
      <c r="J121" s="63"/>
      <c r="K121" s="63"/>
      <c r="L121" s="63"/>
      <c r="M121" s="63"/>
      <c r="N121" s="63"/>
      <c r="O121" s="81"/>
    </row>
    <row r="122" spans="2:15" ht="12.75">
      <c r="B122" s="100"/>
      <c r="C122" s="108" t="s">
        <v>51</v>
      </c>
      <c r="D122" s="63"/>
      <c r="E122" s="63" t="s">
        <v>110</v>
      </c>
      <c r="F122" s="63"/>
      <c r="G122" s="63"/>
      <c r="H122" s="63"/>
      <c r="I122" s="63"/>
      <c r="J122" s="63"/>
      <c r="K122" s="63"/>
      <c r="L122" s="63"/>
      <c r="M122" s="63"/>
      <c r="N122" s="63"/>
      <c r="O122" s="81"/>
    </row>
    <row r="123" spans="2:15" ht="12.75">
      <c r="B123" s="100"/>
      <c r="C123" s="108" t="s">
        <v>107</v>
      </c>
      <c r="D123" s="63"/>
      <c r="E123" s="63" t="s">
        <v>111</v>
      </c>
      <c r="F123" s="63"/>
      <c r="G123" s="63"/>
      <c r="H123" s="63"/>
      <c r="I123" s="63"/>
      <c r="J123" s="63"/>
      <c r="K123" s="63"/>
      <c r="L123" s="63"/>
      <c r="M123" s="63"/>
      <c r="N123" s="63"/>
      <c r="O123" s="81"/>
    </row>
    <row r="124" spans="2:15" ht="12.75">
      <c r="B124" s="100"/>
      <c r="C124" s="108" t="s">
        <v>63</v>
      </c>
      <c r="D124" s="63"/>
      <c r="E124" s="63" t="s">
        <v>112</v>
      </c>
      <c r="F124" s="63"/>
      <c r="G124" s="63"/>
      <c r="H124" s="63"/>
      <c r="I124" s="63"/>
      <c r="J124" s="63"/>
      <c r="K124" s="63"/>
      <c r="L124" s="63"/>
      <c r="M124" s="63"/>
      <c r="N124" s="63"/>
      <c r="O124" s="81"/>
    </row>
    <row r="125" spans="2:15" ht="12.75">
      <c r="B125" s="100"/>
      <c r="C125" s="108" t="s">
        <v>68</v>
      </c>
      <c r="D125" s="63"/>
      <c r="E125" s="63" t="s">
        <v>113</v>
      </c>
      <c r="F125" s="63"/>
      <c r="G125" s="63"/>
      <c r="H125" s="63"/>
      <c r="I125" s="63"/>
      <c r="J125" s="63"/>
      <c r="K125" s="63"/>
      <c r="L125" s="63"/>
      <c r="M125" s="63"/>
      <c r="N125" s="63"/>
      <c r="O125" s="81"/>
    </row>
    <row r="126" spans="2:15" ht="12.75">
      <c r="B126" s="100" t="s">
        <v>52</v>
      </c>
      <c r="C126" s="99"/>
      <c r="D126" s="63"/>
      <c r="E126" s="63" t="s">
        <v>114</v>
      </c>
      <c r="F126" s="63"/>
      <c r="G126" s="63"/>
      <c r="H126" s="63"/>
      <c r="I126" s="63"/>
      <c r="J126" s="63"/>
      <c r="K126" s="63"/>
      <c r="L126" s="63"/>
      <c r="M126" s="63"/>
      <c r="N126" s="63"/>
      <c r="O126" s="81"/>
    </row>
    <row r="127" spans="2:15" ht="12.75">
      <c r="B127" s="100" t="s">
        <v>53</v>
      </c>
      <c r="C127" s="99"/>
      <c r="D127" s="63"/>
      <c r="E127" s="63" t="s">
        <v>115</v>
      </c>
      <c r="F127" s="63"/>
      <c r="G127" s="63"/>
      <c r="H127" s="63"/>
      <c r="I127" s="63"/>
      <c r="J127" s="63"/>
      <c r="K127" s="63"/>
      <c r="L127" s="63"/>
      <c r="M127" s="63"/>
      <c r="N127" s="63"/>
      <c r="O127" s="81"/>
    </row>
    <row r="128" spans="2:15" ht="12.75">
      <c r="B128" s="100" t="s">
        <v>65</v>
      </c>
      <c r="C128" s="99"/>
      <c r="D128" s="63"/>
      <c r="E128" s="63" t="s">
        <v>118</v>
      </c>
      <c r="F128" s="63"/>
      <c r="G128" s="63"/>
      <c r="H128" s="63"/>
      <c r="I128" s="63"/>
      <c r="J128" s="63"/>
      <c r="K128" s="63"/>
      <c r="L128" s="63"/>
      <c r="M128" s="63"/>
      <c r="N128" s="63"/>
      <c r="O128" s="81"/>
    </row>
    <row r="129" spans="2:15" ht="12.75">
      <c r="B129" s="100" t="s">
        <v>64</v>
      </c>
      <c r="C129" s="137"/>
      <c r="D129" s="63"/>
      <c r="E129" s="63" t="s">
        <v>116</v>
      </c>
      <c r="F129" s="63"/>
      <c r="G129" s="63"/>
      <c r="H129" s="63"/>
      <c r="I129" s="63"/>
      <c r="J129" s="63"/>
      <c r="K129" s="63"/>
      <c r="L129" s="63"/>
      <c r="M129" s="63"/>
      <c r="N129" s="63"/>
      <c r="O129" s="81"/>
    </row>
    <row r="130" spans="2:15" ht="13.5" thickBot="1">
      <c r="B130" s="138" t="s">
        <v>54</v>
      </c>
      <c r="C130" s="101"/>
      <c r="D130" s="85"/>
      <c r="E130" s="85" t="s">
        <v>117</v>
      </c>
      <c r="F130" s="85"/>
      <c r="G130" s="85"/>
      <c r="H130" s="85"/>
      <c r="I130" s="85"/>
      <c r="J130" s="85"/>
      <c r="K130" s="85"/>
      <c r="L130" s="85"/>
      <c r="M130" s="85"/>
      <c r="N130" s="85"/>
      <c r="O130" s="86"/>
    </row>
    <row r="134" ht="12.75">
      <c r="J134" s="98"/>
    </row>
  </sheetData>
  <sheetProtection selectLockedCells="1"/>
  <protectedRanges>
    <protectedRange sqref="C37:C39" name="Engineering Cost"/>
    <protectedRange sqref="C48:E48" name="Network Description"/>
    <protectedRange sqref="C61:C63" name="Geodata"/>
    <protectedRange sqref="F101:G112" name="Time Savings"/>
  </protectedRanges>
  <mergeCells count="43">
    <mergeCell ref="C82:D82"/>
    <mergeCell ref="E82:F82"/>
    <mergeCell ref="C83:D83"/>
    <mergeCell ref="E83:F83"/>
    <mergeCell ref="F109:G109"/>
    <mergeCell ref="F106:G106"/>
    <mergeCell ref="F107:G107"/>
    <mergeCell ref="F108:G108"/>
    <mergeCell ref="H111:I111"/>
    <mergeCell ref="F111:G111"/>
    <mergeCell ref="C84:D84"/>
    <mergeCell ref="H112:I112"/>
    <mergeCell ref="F100:G100"/>
    <mergeCell ref="H100:I100"/>
    <mergeCell ref="F102:G102"/>
    <mergeCell ref="F103:G103"/>
    <mergeCell ref="F104:G104"/>
    <mergeCell ref="E84:F84"/>
    <mergeCell ref="H106:I106"/>
    <mergeCell ref="H107:I107"/>
    <mergeCell ref="H108:I108"/>
    <mergeCell ref="H109:I109"/>
    <mergeCell ref="B113:D113"/>
    <mergeCell ref="F113:G113"/>
    <mergeCell ref="B114:D114"/>
    <mergeCell ref="F114:I114"/>
    <mergeCell ref="J113:K113"/>
    <mergeCell ref="H113:I113"/>
    <mergeCell ref="F101:G101"/>
    <mergeCell ref="H101:I101"/>
    <mergeCell ref="F110:G110"/>
    <mergeCell ref="H110:I110"/>
    <mergeCell ref="F112:G112"/>
    <mergeCell ref="H102:I102"/>
    <mergeCell ref="H103:I103"/>
    <mergeCell ref="H104:I104"/>
    <mergeCell ref="F105:G105"/>
    <mergeCell ref="H105:I105"/>
    <mergeCell ref="D88:F88"/>
    <mergeCell ref="E85:F85"/>
    <mergeCell ref="C85:D85"/>
    <mergeCell ref="C86:D86"/>
    <mergeCell ref="E86:F86"/>
  </mergeCells>
  <printOptions/>
  <pageMargins left="0.75" right="0.75" top="1" bottom="1" header="0.4921259845" footer="0.49212598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2"/>
  <dimension ref="A1:K23"/>
  <sheetViews>
    <sheetView workbookViewId="0" topLeftCell="A1">
      <selection activeCell="H21" sqref="H21"/>
    </sheetView>
  </sheetViews>
  <sheetFormatPr defaultColWidth="11.421875" defaultRowHeight="12.75"/>
  <cols>
    <col min="1" max="1" width="26.8515625" style="0" customWidth="1"/>
    <col min="2" max="2" width="12.8515625" style="0" bestFit="1" customWidth="1"/>
    <col min="8" max="8" width="14.421875" style="0" bestFit="1" customWidth="1"/>
    <col min="9" max="10" width="12.8515625" style="0" bestFit="1" customWidth="1"/>
    <col min="11" max="11" width="15.8515625" style="0" customWidth="1"/>
  </cols>
  <sheetData>
    <row r="1" spans="1:6" ht="15.75">
      <c r="A1" s="236" t="s">
        <v>127</v>
      </c>
      <c r="B1" s="236"/>
      <c r="C1" s="236"/>
      <c r="D1" s="236"/>
      <c r="E1" s="236"/>
      <c r="F1" s="236"/>
    </row>
    <row r="2" spans="1:6" ht="15.75">
      <c r="A2" s="35" t="s">
        <v>35</v>
      </c>
      <c r="B2" s="35">
        <f>'Business case'!C37</f>
        <v>800</v>
      </c>
      <c r="C2" s="35"/>
      <c r="D2" s="35"/>
      <c r="E2" s="35"/>
      <c r="F2" s="35"/>
    </row>
    <row r="3" spans="1:6" ht="15.75">
      <c r="A3" s="35" t="s">
        <v>36</v>
      </c>
      <c r="B3" s="35">
        <f>'Business case'!C38</f>
        <v>150</v>
      </c>
      <c r="C3" s="35"/>
      <c r="D3" s="35"/>
      <c r="E3" s="35"/>
      <c r="F3" s="35"/>
    </row>
    <row r="4" spans="1:11" ht="15.75">
      <c r="A4" s="35"/>
      <c r="B4" s="35"/>
      <c r="C4" s="35"/>
      <c r="D4" s="35"/>
      <c r="E4" s="35"/>
      <c r="F4" s="35"/>
      <c r="H4" s="204" t="s">
        <v>15</v>
      </c>
      <c r="I4" s="204"/>
      <c r="J4" s="204" t="s">
        <v>70</v>
      </c>
      <c r="K4" s="204"/>
    </row>
    <row r="5" spans="8:11" ht="13.5" thickBot="1">
      <c r="H5" t="s">
        <v>38</v>
      </c>
      <c r="I5" t="s">
        <v>39</v>
      </c>
      <c r="J5" t="s">
        <v>38</v>
      </c>
      <c r="K5" t="s">
        <v>39</v>
      </c>
    </row>
    <row r="6" spans="1:11" ht="12.75">
      <c r="A6" s="30" t="s">
        <v>20</v>
      </c>
      <c r="B6" s="31" t="s">
        <v>21</v>
      </c>
      <c r="C6" s="31" t="s">
        <v>40</v>
      </c>
      <c r="D6" s="31" t="s">
        <v>23</v>
      </c>
      <c r="E6" s="31" t="s">
        <v>24</v>
      </c>
      <c r="F6" s="36" t="s">
        <v>6</v>
      </c>
      <c r="H6">
        <f>HLOOKUP(G10,'Green Field'!$D$5:$O$8,3)</f>
        <v>2</v>
      </c>
      <c r="I6">
        <f>HLOOKUP(G10,'Green Field'!$D$5:$O$8,4)</f>
        <v>1</v>
      </c>
      <c r="J6">
        <f>HLOOKUP(G10,'Existing Network'!$C$5:$N$8,3)</f>
        <v>2</v>
      </c>
      <c r="K6">
        <f>HLOOKUP(G10,'Existing Network'!$C$5:$N$8,4)</f>
        <v>2</v>
      </c>
    </row>
    <row r="7" spans="1:11" ht="12.75">
      <c r="A7" s="24" t="s">
        <v>34</v>
      </c>
      <c r="B7" s="26">
        <f>'Business case'!C61</f>
        <v>500</v>
      </c>
      <c r="C7" s="26">
        <f>'Business case'!L76</f>
        <v>0</v>
      </c>
      <c r="D7" s="26">
        <f>'Business case'!M76</f>
        <v>1</v>
      </c>
      <c r="E7" s="26">
        <f>'Business case'!N76</f>
        <v>0</v>
      </c>
      <c r="F7" s="27">
        <f>'Business case'!O76</f>
        <v>0</v>
      </c>
      <c r="G7" t="str">
        <f>IF((C7+D7+E7+F7)=1,"OK","ERREUR")</f>
        <v>OK</v>
      </c>
      <c r="H7">
        <f>HLOOKUP(G11,'Green Field'!$D$5:$O$8,3)</f>
        <v>2</v>
      </c>
      <c r="I7">
        <f>HLOOKUP(G11,'Green Field'!$D$5:$O$8,4)</f>
        <v>2</v>
      </c>
      <c r="J7">
        <f>HLOOKUP(G11,'Existing Network'!$C$5:$N$8,3)</f>
        <v>2</v>
      </c>
      <c r="K7">
        <f>HLOOKUP(G11,'Existing Network'!$C$5:$N$8,4)</f>
        <v>2</v>
      </c>
    </row>
    <row r="8" spans="1:11" ht="12.75">
      <c r="A8" s="24" t="s">
        <v>33</v>
      </c>
      <c r="B8" s="26">
        <f>'Business case'!C62</f>
        <v>5000</v>
      </c>
      <c r="C8" s="26">
        <f>'Business case'!L77</f>
        <v>0</v>
      </c>
      <c r="D8" s="26">
        <f>'Business case'!M77</f>
        <v>0</v>
      </c>
      <c r="E8" s="26">
        <f>'Business case'!N77</f>
        <v>1</v>
      </c>
      <c r="F8" s="27">
        <f>'Business case'!O77</f>
        <v>0</v>
      </c>
      <c r="G8" t="str">
        <f>IF((C8+D8+E8+F8)=1,"OK","ERREUR")</f>
        <v>OK</v>
      </c>
      <c r="H8">
        <f>HLOOKUP(G12,'Green Field'!$D$5:$O$8,3)</f>
        <v>3</v>
      </c>
      <c r="I8">
        <f>HLOOKUP(G12,'Green Field'!$D$5:$O$8,4)</f>
        <v>3</v>
      </c>
      <c r="J8">
        <f>HLOOKUP(G12,'Existing Network'!$C$5:$N$8,3)</f>
        <v>1</v>
      </c>
      <c r="K8">
        <f>HLOOKUP(G12,'Existing Network'!$C$5:$N$8,4)</f>
        <v>1</v>
      </c>
    </row>
    <row r="9" spans="1:7" ht="13.5" thickBot="1">
      <c r="A9" s="25" t="s">
        <v>32</v>
      </c>
      <c r="B9" s="28">
        <f>'Business case'!C63</f>
        <v>200000</v>
      </c>
      <c r="C9" s="28">
        <f>'Business case'!L78</f>
        <v>0</v>
      </c>
      <c r="D9" s="28">
        <f>'Business case'!M78</f>
        <v>0</v>
      </c>
      <c r="E9" s="28">
        <f>'Business case'!N78</f>
        <v>0</v>
      </c>
      <c r="F9" s="29">
        <f>'Business case'!O78</f>
        <v>1</v>
      </c>
      <c r="G9" t="str">
        <f>IF((C9+D9+E9+F9)=1,"OK","ERREUR")</f>
        <v>OK</v>
      </c>
    </row>
    <row r="10" spans="1:7" ht="12.75">
      <c r="A10" s="26"/>
      <c r="B10" s="26"/>
      <c r="C10" s="26">
        <v>9</v>
      </c>
      <c r="D10" s="26">
        <v>10</v>
      </c>
      <c r="E10" s="26">
        <v>11</v>
      </c>
      <c r="F10" s="39">
        <v>12</v>
      </c>
      <c r="G10" s="26">
        <f>C7*C10+D7*D10+E7*E10+F7*F10</f>
        <v>10</v>
      </c>
    </row>
    <row r="11" spans="1:7" ht="12.75">
      <c r="A11" s="26"/>
      <c r="B11" s="26"/>
      <c r="C11" s="26">
        <v>5</v>
      </c>
      <c r="D11" s="26">
        <v>6</v>
      </c>
      <c r="E11" s="26">
        <v>7</v>
      </c>
      <c r="F11" s="39">
        <v>8</v>
      </c>
      <c r="G11" s="26">
        <f>C8*C11+D8*D11+E8*E11+F8*F11</f>
        <v>7</v>
      </c>
    </row>
    <row r="12" spans="3:7" ht="12.75">
      <c r="C12" s="39">
        <v>1</v>
      </c>
      <c r="D12" s="39">
        <v>2</v>
      </c>
      <c r="E12" s="39">
        <v>3</v>
      </c>
      <c r="F12" s="39">
        <v>4</v>
      </c>
      <c r="G12" s="26">
        <f>C9*C12+D9*D12+E9*E12+F9*F12</f>
        <v>4</v>
      </c>
    </row>
    <row r="14" ht="13.5" thickBot="1"/>
    <row r="15" spans="1:10" ht="25.5">
      <c r="A15" s="32" t="s">
        <v>29</v>
      </c>
      <c r="B15" s="33" t="s">
        <v>22</v>
      </c>
      <c r="C15" s="33" t="s">
        <v>18</v>
      </c>
      <c r="D15" s="34" t="s">
        <v>27</v>
      </c>
      <c r="F15" s="32" t="s">
        <v>29</v>
      </c>
      <c r="G15" s="44"/>
      <c r="H15" s="33" t="s">
        <v>22</v>
      </c>
      <c r="I15" s="33" t="s">
        <v>18</v>
      </c>
      <c r="J15" s="34" t="s">
        <v>27</v>
      </c>
    </row>
    <row r="16" spans="1:10" ht="12.75">
      <c r="A16" s="24"/>
      <c r="B16" s="26"/>
      <c r="C16" s="26"/>
      <c r="D16" s="27"/>
      <c r="F16" s="45"/>
      <c r="G16" s="26"/>
      <c r="H16" s="26"/>
      <c r="I16" s="26"/>
      <c r="J16" s="27"/>
    </row>
    <row r="17" spans="1:10" ht="12.75">
      <c r="A17" s="24" t="s">
        <v>19</v>
      </c>
      <c r="B17" s="26">
        <f>+'Business case'!C48</f>
        <v>400</v>
      </c>
      <c r="C17" s="26">
        <f>+'Business case'!D48</f>
        <v>150</v>
      </c>
      <c r="D17" s="27">
        <f>+'Business case'!E48</f>
        <v>200</v>
      </c>
      <c r="F17" s="45" t="s">
        <v>19</v>
      </c>
      <c r="G17" s="26"/>
      <c r="H17" s="26">
        <f>B17</f>
        <v>400</v>
      </c>
      <c r="I17" s="26">
        <f>C17</f>
        <v>150</v>
      </c>
      <c r="J17" s="27">
        <f>D17</f>
        <v>200</v>
      </c>
    </row>
    <row r="18" spans="1:10" ht="12.75">
      <c r="A18" s="42" t="s">
        <v>30</v>
      </c>
      <c r="B18" s="41">
        <f>+'Business case'!C51</f>
        <v>0.49</v>
      </c>
      <c r="C18" s="41">
        <f>+'Business case'!D51</f>
        <v>0.63</v>
      </c>
      <c r="D18" s="43">
        <f>+'Business case'!E51</f>
        <v>0.83</v>
      </c>
      <c r="F18" s="46"/>
      <c r="G18" s="40" t="s">
        <v>43</v>
      </c>
      <c r="H18" s="47">
        <f>+'Business case'!C49</f>
        <v>196</v>
      </c>
      <c r="I18" s="47">
        <f>+'Business case'!D49</f>
        <v>94.5</v>
      </c>
      <c r="J18" s="48">
        <f>+'Business case'!E49</f>
        <v>166</v>
      </c>
    </row>
    <row r="19" spans="1:10" ht="13.5" thickBot="1">
      <c r="A19" s="51" t="s">
        <v>31</v>
      </c>
      <c r="B19" s="52">
        <f>+'Business case'!C52</f>
        <v>0.51</v>
      </c>
      <c r="C19" s="52">
        <f>+'Business case'!D52</f>
        <v>0.37</v>
      </c>
      <c r="D19" s="53">
        <f>+'Business case'!E52</f>
        <v>0.17000000000000004</v>
      </c>
      <c r="F19" s="54"/>
      <c r="G19" s="55" t="s">
        <v>37</v>
      </c>
      <c r="H19" s="56">
        <f>+'Business case'!C50</f>
        <v>204</v>
      </c>
      <c r="I19" s="56">
        <f>+'Business case'!D50</f>
        <v>55.5</v>
      </c>
      <c r="J19" s="57">
        <f>+'Business case'!E50</f>
        <v>34.00000000000001</v>
      </c>
    </row>
    <row r="20" spans="1:4" ht="12.75">
      <c r="A20" s="37"/>
      <c r="B20" s="38"/>
      <c r="C20" s="38"/>
      <c r="D20" s="38"/>
    </row>
    <row r="21" spans="1:11" ht="12.75">
      <c r="A21" s="37"/>
      <c r="B21" s="38"/>
      <c r="C21" s="38"/>
      <c r="D21" s="38"/>
      <c r="F21" s="204" t="s">
        <v>41</v>
      </c>
      <c r="G21" s="204"/>
      <c r="H21" s="49">
        <f>H18*H6*B2+I18*H7*B2+J18*H8*B2+H19*J6*B2+I19*J7*B2+J19*J8*B2</f>
        <v>1305600</v>
      </c>
      <c r="I21" s="49"/>
      <c r="J21" s="49"/>
      <c r="K21" s="49"/>
    </row>
    <row r="22" spans="1:11" ht="12.75">
      <c r="A22" s="37"/>
      <c r="B22" s="38"/>
      <c r="C22" s="38"/>
      <c r="D22" s="38"/>
      <c r="F22" s="235" t="s">
        <v>42</v>
      </c>
      <c r="G22" s="235"/>
      <c r="H22" s="49">
        <f>H18*I6*B3+I18*I7*B3+J18*I8*B3+H19*K6*B3+I19*K7*B3+J19*K8*B3</f>
        <v>215400</v>
      </c>
      <c r="I22" s="49"/>
      <c r="J22" s="49"/>
      <c r="K22" s="49"/>
    </row>
    <row r="23" spans="1:11" ht="12.75">
      <c r="A23" s="37"/>
      <c r="B23" s="38"/>
      <c r="C23" s="38"/>
      <c r="D23" s="38"/>
      <c r="H23" s="49">
        <f>SUM(H21:H22)</f>
        <v>1521000</v>
      </c>
      <c r="K23" s="49"/>
    </row>
  </sheetData>
  <mergeCells count="5">
    <mergeCell ref="F22:G22"/>
    <mergeCell ref="A1:F1"/>
    <mergeCell ref="H4:I4"/>
    <mergeCell ref="J4:K4"/>
    <mergeCell ref="F21:G2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K25"/>
  <sheetViews>
    <sheetView workbookViewId="0" topLeftCell="A1">
      <selection activeCell="J5" sqref="J5"/>
    </sheetView>
  </sheetViews>
  <sheetFormatPr defaultColWidth="11.421875" defaultRowHeight="12.75"/>
  <cols>
    <col min="1" max="1" width="26.8515625" style="0" customWidth="1"/>
    <col min="2" max="2" width="12.8515625" style="0" bestFit="1" customWidth="1"/>
    <col min="8" max="8" width="15.140625" style="0" customWidth="1"/>
    <col min="9" max="11" width="12.8515625" style="0" bestFit="1" customWidth="1"/>
  </cols>
  <sheetData>
    <row r="1" spans="1:6" ht="15.75">
      <c r="A1" s="236" t="s">
        <v>28</v>
      </c>
      <c r="B1" s="236"/>
      <c r="C1" s="236"/>
      <c r="D1" s="236"/>
      <c r="E1" s="236"/>
      <c r="F1" s="236"/>
    </row>
    <row r="2" spans="1:6" ht="15.75">
      <c r="A2" s="35" t="s">
        <v>35</v>
      </c>
      <c r="B2" s="35">
        <f>'Business case'!C37</f>
        <v>800</v>
      </c>
      <c r="C2" s="35"/>
      <c r="D2" s="35"/>
      <c r="E2" s="35"/>
      <c r="F2" s="35"/>
    </row>
    <row r="3" spans="1:6" ht="15.75">
      <c r="A3" s="35" t="s">
        <v>36</v>
      </c>
      <c r="B3" s="35">
        <f>'Business case'!C38</f>
        <v>150</v>
      </c>
      <c r="C3" s="35"/>
      <c r="D3" s="35"/>
      <c r="E3" s="35"/>
      <c r="F3" s="35"/>
    </row>
    <row r="4" spans="1:11" ht="15.75">
      <c r="A4" s="35"/>
      <c r="B4" s="35"/>
      <c r="C4" s="35"/>
      <c r="D4" s="35"/>
      <c r="E4" s="35"/>
      <c r="F4" s="35"/>
      <c r="H4" s="204" t="s">
        <v>15</v>
      </c>
      <c r="I4" s="204"/>
      <c r="J4" s="204" t="s">
        <v>70</v>
      </c>
      <c r="K4" s="204"/>
    </row>
    <row r="5" spans="8:11" ht="13.5" thickBot="1">
      <c r="H5" t="s">
        <v>38</v>
      </c>
      <c r="I5" t="s">
        <v>39</v>
      </c>
      <c r="J5" t="s">
        <v>38</v>
      </c>
      <c r="K5" t="s">
        <v>39</v>
      </c>
    </row>
    <row r="6" spans="1:11" ht="12.75">
      <c r="A6" s="30" t="s">
        <v>20</v>
      </c>
      <c r="B6" s="31" t="s">
        <v>21</v>
      </c>
      <c r="C6" s="31" t="s">
        <v>40</v>
      </c>
      <c r="D6" s="31" t="s">
        <v>23</v>
      </c>
      <c r="E6" s="31" t="s">
        <v>24</v>
      </c>
      <c r="F6" s="36" t="s">
        <v>6</v>
      </c>
      <c r="H6">
        <f>HLOOKUP(G10,'Green Field'!$D$5:$O$8,3)</f>
        <v>3</v>
      </c>
      <c r="I6">
        <f>HLOOKUP(G10,'Green Field'!$D$5:$O$8,4)</f>
        <v>3</v>
      </c>
      <c r="J6">
        <f>HLOOKUP(G10,'Existing Network'!$C$5:$N$8,3)</f>
        <v>4</v>
      </c>
      <c r="K6">
        <f>HLOOKUP(G10,'Existing Network'!$C$5:$N$8,4)</f>
        <v>4</v>
      </c>
    </row>
    <row r="7" spans="1:11" ht="12.75">
      <c r="A7" s="24" t="s">
        <v>34</v>
      </c>
      <c r="B7" s="26">
        <f>'Business case'!C61</f>
        <v>500</v>
      </c>
      <c r="C7" s="26">
        <f>+'Business case'!L61</f>
        <v>0</v>
      </c>
      <c r="D7" s="26">
        <f>+'Business case'!M61</f>
        <v>0</v>
      </c>
      <c r="E7" s="26">
        <f>+'Business case'!N61</f>
        <v>0</v>
      </c>
      <c r="F7" s="27">
        <f>+'Business case'!O61</f>
        <v>1</v>
      </c>
      <c r="G7" t="str">
        <f>IF((C7+D7+E7+F7)=1,"OK","ERREUR")</f>
        <v>OK</v>
      </c>
      <c r="H7">
        <f>HLOOKUP(G11,'Green Field'!$D$5:$O$8,3)</f>
        <v>3</v>
      </c>
      <c r="I7">
        <f>HLOOKUP(G11,'Green Field'!$D$5:$O$8,4)</f>
        <v>3</v>
      </c>
      <c r="J7">
        <f>HLOOKUP(G11,'Existing Network'!$C$5:$N$8,3)</f>
        <v>2</v>
      </c>
      <c r="K7">
        <f>HLOOKUP(G11,'Existing Network'!$C$5:$N$8,4)</f>
        <v>2</v>
      </c>
    </row>
    <row r="8" spans="1:11" ht="12.75">
      <c r="A8" s="24" t="s">
        <v>33</v>
      </c>
      <c r="B8" s="26">
        <f>'Business case'!C62</f>
        <v>5000</v>
      </c>
      <c r="C8" s="26">
        <f>+'Business case'!L62</f>
        <v>0</v>
      </c>
      <c r="D8" s="26">
        <f>+'Business case'!M62</f>
        <v>0</v>
      </c>
      <c r="E8" s="26">
        <f>+'Business case'!N62</f>
        <v>0</v>
      </c>
      <c r="F8" s="27">
        <f>+'Business case'!O62</f>
        <v>1</v>
      </c>
      <c r="G8" t="str">
        <f>IF((C8+D8+E8+F8)=1,"OK","ERREUR")</f>
        <v>OK</v>
      </c>
      <c r="H8">
        <f>HLOOKUP(G12,'Green Field'!$D$5:$O$8,3)</f>
        <v>3</v>
      </c>
      <c r="I8">
        <f>HLOOKUP(G12,'Green Field'!$D$5:$O$8,4)</f>
        <v>3</v>
      </c>
      <c r="J8">
        <f>HLOOKUP(G12,'Existing Network'!$C$5:$N$8,3)</f>
        <v>1</v>
      </c>
      <c r="K8">
        <f>HLOOKUP(G12,'Existing Network'!$C$5:$N$8,4)</f>
        <v>1</v>
      </c>
    </row>
    <row r="9" spans="1:7" ht="13.5" thickBot="1">
      <c r="A9" s="25" t="s">
        <v>32</v>
      </c>
      <c r="B9" s="28">
        <f>'Business case'!C63</f>
        <v>200000</v>
      </c>
      <c r="C9" s="28">
        <f>+'Business case'!L63</f>
        <v>0</v>
      </c>
      <c r="D9" s="28">
        <f>+'Business case'!M63</f>
        <v>0</v>
      </c>
      <c r="E9" s="28">
        <f>+'Business case'!N63</f>
        <v>0</v>
      </c>
      <c r="F9" s="29">
        <f>+'Business case'!O63</f>
        <v>1</v>
      </c>
      <c r="G9" t="str">
        <f>IF((C9+D9+E9+F9)=1,"OK","ERREUR")</f>
        <v>OK</v>
      </c>
    </row>
    <row r="10" spans="1:7" ht="12.75">
      <c r="A10" s="26"/>
      <c r="B10" s="26"/>
      <c r="C10" s="26">
        <v>9</v>
      </c>
      <c r="D10" s="26">
        <v>10</v>
      </c>
      <c r="E10" s="26">
        <v>11</v>
      </c>
      <c r="F10" s="39">
        <v>12</v>
      </c>
      <c r="G10" s="26">
        <f>C7*C10+D7*D10+E7*E10+F7*F10</f>
        <v>12</v>
      </c>
    </row>
    <row r="11" spans="1:7" ht="12.75">
      <c r="A11" s="26"/>
      <c r="B11" s="26"/>
      <c r="C11" s="26">
        <v>5</v>
      </c>
      <c r="D11" s="26">
        <v>6</v>
      </c>
      <c r="E11" s="26">
        <v>7</v>
      </c>
      <c r="F11" s="39">
        <v>8</v>
      </c>
      <c r="G11" s="26">
        <f>C8*C11+D8*D11+E8*E11+F8*F11</f>
        <v>8</v>
      </c>
    </row>
    <row r="12" spans="3:7" ht="12.75">
      <c r="C12" s="39">
        <v>1</v>
      </c>
      <c r="D12" s="39">
        <v>2</v>
      </c>
      <c r="E12" s="39">
        <v>3</v>
      </c>
      <c r="F12" s="39">
        <v>4</v>
      </c>
      <c r="G12" s="26">
        <f>C9*C12+D9*D12+E9*E12+F9*F12</f>
        <v>4</v>
      </c>
    </row>
    <row r="14" ht="13.5" thickBot="1"/>
    <row r="15" spans="1:10" ht="25.5">
      <c r="A15" s="32" t="s">
        <v>29</v>
      </c>
      <c r="B15" s="33" t="s">
        <v>22</v>
      </c>
      <c r="C15" s="33" t="s">
        <v>18</v>
      </c>
      <c r="D15" s="34" t="s">
        <v>27</v>
      </c>
      <c r="F15" s="32" t="s">
        <v>29</v>
      </c>
      <c r="G15" s="44"/>
      <c r="H15" s="33" t="s">
        <v>22</v>
      </c>
      <c r="I15" s="33" t="s">
        <v>18</v>
      </c>
      <c r="J15" s="34" t="s">
        <v>27</v>
      </c>
    </row>
    <row r="16" spans="1:10" ht="12.75">
      <c r="A16" s="24"/>
      <c r="B16" s="26"/>
      <c r="C16" s="26"/>
      <c r="D16" s="27"/>
      <c r="F16" s="45"/>
      <c r="G16" s="26"/>
      <c r="H16" s="26"/>
      <c r="I16" s="26"/>
      <c r="J16" s="27"/>
    </row>
    <row r="17" spans="1:10" ht="12.75">
      <c r="A17" s="24" t="s">
        <v>19</v>
      </c>
      <c r="B17" s="26">
        <f>+'Business case'!C48</f>
        <v>400</v>
      </c>
      <c r="C17" s="26">
        <f>+'Business case'!D48</f>
        <v>150</v>
      </c>
      <c r="D17" s="27">
        <f>+'Business case'!E48</f>
        <v>200</v>
      </c>
      <c r="F17" s="45" t="s">
        <v>19</v>
      </c>
      <c r="G17" s="26"/>
      <c r="H17" s="26">
        <f>+'Business case'!I48</f>
        <v>0</v>
      </c>
      <c r="I17" s="26">
        <f>+'Business case'!J48</f>
        <v>0</v>
      </c>
      <c r="J17" s="27">
        <f>+'Business case'!K48</f>
        <v>0</v>
      </c>
    </row>
    <row r="18" spans="1:10" ht="12.75">
      <c r="A18" s="42" t="s">
        <v>30</v>
      </c>
      <c r="B18" s="41">
        <f>+'Business case'!C51</f>
        <v>0.49</v>
      </c>
      <c r="C18" s="41">
        <f>+'Business case'!D51</f>
        <v>0.63</v>
      </c>
      <c r="D18" s="43">
        <f>+'Business case'!E51</f>
        <v>0.83</v>
      </c>
      <c r="F18" s="46"/>
      <c r="G18" s="40" t="s">
        <v>43</v>
      </c>
      <c r="H18" s="47">
        <f>+'Business case'!C49</f>
        <v>196</v>
      </c>
      <c r="I18" s="47">
        <f>+'Business case'!D49</f>
        <v>94.5</v>
      </c>
      <c r="J18" s="48">
        <f>+'Business case'!E49</f>
        <v>166</v>
      </c>
    </row>
    <row r="19" spans="1:10" ht="13.5" thickBot="1">
      <c r="A19" s="51" t="s">
        <v>31</v>
      </c>
      <c r="B19" s="52">
        <f>+'Business case'!C52</f>
        <v>0.51</v>
      </c>
      <c r="C19" s="52">
        <f>+'Business case'!D52</f>
        <v>0.37</v>
      </c>
      <c r="D19" s="53">
        <f>+'Business case'!E52</f>
        <v>0.17000000000000004</v>
      </c>
      <c r="F19" s="54"/>
      <c r="G19" s="55" t="s">
        <v>37</v>
      </c>
      <c r="H19" s="56">
        <f>+'Business case'!C50</f>
        <v>204</v>
      </c>
      <c r="I19" s="56">
        <f>+'Business case'!D50</f>
        <v>55.5</v>
      </c>
      <c r="J19" s="57">
        <f>+'Business case'!E50</f>
        <v>34.00000000000001</v>
      </c>
    </row>
    <row r="20" spans="1:4" ht="12.75">
      <c r="A20" s="37"/>
      <c r="B20" s="38"/>
      <c r="C20" s="38"/>
      <c r="D20" s="38"/>
    </row>
    <row r="21" spans="1:11" ht="12.75">
      <c r="A21" s="37"/>
      <c r="B21" s="38"/>
      <c r="C21" s="38"/>
      <c r="D21" s="38"/>
      <c r="F21" s="204" t="s">
        <v>41</v>
      </c>
      <c r="G21" s="204"/>
      <c r="H21" s="49">
        <f>H18*H6*B2+I18*H7*B2+J18*H8*B2+H19*J6*B2+I19*J7*B2+J19*J8*B2</f>
        <v>1864400</v>
      </c>
      <c r="I21" s="49"/>
      <c r="J21" s="49"/>
      <c r="K21" s="49"/>
    </row>
    <row r="22" spans="1:11" ht="12.75">
      <c r="A22" s="37"/>
      <c r="B22" s="38"/>
      <c r="C22" s="38"/>
      <c r="D22" s="38"/>
      <c r="F22" s="235" t="s">
        <v>42</v>
      </c>
      <c r="G22" s="235"/>
      <c r="H22" s="49">
        <f>H18*I6*B3+I18*I7*B3+J18*I8*B3+H19*K6*B3+I19*K7*B3+J19*K8*B3</f>
        <v>349575</v>
      </c>
      <c r="I22" s="49"/>
      <c r="J22" s="49"/>
      <c r="K22" s="49"/>
    </row>
    <row r="23" spans="1:11" ht="12.75">
      <c r="A23" s="37"/>
      <c r="B23" s="38"/>
      <c r="C23" s="38"/>
      <c r="D23" s="38"/>
      <c r="H23" s="49">
        <f>SUM(H21:H22)</f>
        <v>2213975</v>
      </c>
      <c r="K23" s="49"/>
    </row>
    <row r="24" spans="1:4" ht="12.75">
      <c r="A24" s="37"/>
      <c r="B24" s="38"/>
      <c r="C24" s="38"/>
      <c r="D24" s="38"/>
    </row>
    <row r="25" spans="1:4" ht="12.75">
      <c r="A25" s="37"/>
      <c r="B25" s="38"/>
      <c r="C25" s="38"/>
      <c r="D25" s="38"/>
    </row>
  </sheetData>
  <mergeCells count="5">
    <mergeCell ref="J4:K4"/>
    <mergeCell ref="F21:G21"/>
    <mergeCell ref="F22:G22"/>
    <mergeCell ref="A1:F1"/>
    <mergeCell ref="H4:I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4"/>
  <dimension ref="B3:O49"/>
  <sheetViews>
    <sheetView workbookViewId="0" topLeftCell="A1">
      <selection activeCell="G9" sqref="G9"/>
    </sheetView>
  </sheetViews>
  <sheetFormatPr defaultColWidth="11.421875" defaultRowHeight="12.75"/>
  <cols>
    <col min="1" max="1" width="2.7109375" style="0" customWidth="1"/>
    <col min="2" max="2" width="16.421875" style="1" customWidth="1"/>
    <col min="3" max="9" width="5.7109375" style="0" customWidth="1"/>
    <col min="10" max="10" width="6.57421875" style="0" customWidth="1"/>
    <col min="11" max="17" width="5.7109375" style="0" customWidth="1"/>
    <col min="18" max="16384" width="9.140625" style="0" customWidth="1"/>
  </cols>
  <sheetData>
    <row r="2" ht="13.5" thickBot="1"/>
    <row r="3" spans="3:14" ht="13.5" thickBot="1">
      <c r="C3" s="11"/>
      <c r="D3" s="8" t="s">
        <v>0</v>
      </c>
      <c r="E3" s="9"/>
      <c r="F3" s="10"/>
      <c r="G3" s="11"/>
      <c r="H3" s="8" t="s">
        <v>1</v>
      </c>
      <c r="I3" s="9"/>
      <c r="J3" s="10"/>
      <c r="K3" s="11"/>
      <c r="L3" s="8" t="s">
        <v>2</v>
      </c>
      <c r="M3" s="9"/>
      <c r="N3" s="10"/>
    </row>
    <row r="4" spans="3:14" ht="90.75" thickBot="1">
      <c r="C4" s="5" t="s">
        <v>3</v>
      </c>
      <c r="D4" s="12" t="s">
        <v>4</v>
      </c>
      <c r="E4" s="12" t="s">
        <v>5</v>
      </c>
      <c r="F4" s="12" t="s">
        <v>6</v>
      </c>
      <c r="G4" s="12" t="s">
        <v>3</v>
      </c>
      <c r="H4" s="12" t="s">
        <v>4</v>
      </c>
      <c r="I4" s="12" t="s">
        <v>5</v>
      </c>
      <c r="J4" s="12" t="s">
        <v>6</v>
      </c>
      <c r="K4" s="12" t="s">
        <v>3</v>
      </c>
      <c r="L4" s="12" t="s">
        <v>4</v>
      </c>
      <c r="M4" s="12" t="s">
        <v>5</v>
      </c>
      <c r="N4" s="6" t="s">
        <v>6</v>
      </c>
    </row>
    <row r="5" spans="3:14" ht="14.25" customHeight="1" thickBot="1">
      <c r="C5">
        <v>1</v>
      </c>
      <c r="D5">
        <v>2</v>
      </c>
      <c r="E5">
        <v>3</v>
      </c>
      <c r="F5">
        <v>4</v>
      </c>
      <c r="G5">
        <v>5</v>
      </c>
      <c r="H5">
        <v>6</v>
      </c>
      <c r="I5">
        <v>7</v>
      </c>
      <c r="J5">
        <v>8</v>
      </c>
      <c r="K5">
        <v>9</v>
      </c>
      <c r="L5">
        <v>10</v>
      </c>
      <c r="M5">
        <v>11</v>
      </c>
      <c r="N5">
        <v>12</v>
      </c>
    </row>
    <row r="6" spans="2:15" ht="51.75" thickBot="1">
      <c r="B6" s="7" t="s">
        <v>9</v>
      </c>
      <c r="C6" s="13">
        <v>1</v>
      </c>
      <c r="D6" s="14">
        <v>1</v>
      </c>
      <c r="E6" s="14">
        <v>1</v>
      </c>
      <c r="F6" s="14">
        <v>1</v>
      </c>
      <c r="G6" s="14">
        <v>1</v>
      </c>
      <c r="H6" s="14">
        <v>1</v>
      </c>
      <c r="I6" s="14">
        <v>1</v>
      </c>
      <c r="J6" s="14">
        <v>1</v>
      </c>
      <c r="K6" s="14">
        <v>1</v>
      </c>
      <c r="L6" s="14">
        <v>1</v>
      </c>
      <c r="M6" s="14">
        <v>1</v>
      </c>
      <c r="N6" s="15">
        <v>1</v>
      </c>
      <c r="O6" s="2"/>
    </row>
    <row r="7" spans="2:15" ht="26.25" thickBot="1">
      <c r="B7" s="7" t="s">
        <v>7</v>
      </c>
      <c r="C7" s="19">
        <v>1</v>
      </c>
      <c r="D7" s="20">
        <v>1</v>
      </c>
      <c r="E7" s="20">
        <v>1</v>
      </c>
      <c r="F7" s="20">
        <v>1</v>
      </c>
      <c r="G7" s="20">
        <v>1</v>
      </c>
      <c r="H7" s="20">
        <v>1</v>
      </c>
      <c r="I7" s="20">
        <v>2</v>
      </c>
      <c r="J7" s="20">
        <v>2</v>
      </c>
      <c r="K7" s="20">
        <v>1</v>
      </c>
      <c r="L7" s="20">
        <v>2</v>
      </c>
      <c r="M7" s="20">
        <v>3</v>
      </c>
      <c r="N7" s="21">
        <v>4</v>
      </c>
      <c r="O7" s="2"/>
    </row>
    <row r="8" spans="2:15" ht="26.25" thickBot="1">
      <c r="B8" s="7" t="s">
        <v>8</v>
      </c>
      <c r="C8" s="16">
        <v>1</v>
      </c>
      <c r="D8" s="17">
        <v>1</v>
      </c>
      <c r="E8" s="17">
        <v>1</v>
      </c>
      <c r="F8" s="17">
        <v>1</v>
      </c>
      <c r="G8" s="17">
        <v>1</v>
      </c>
      <c r="H8" s="17">
        <v>1</v>
      </c>
      <c r="I8" s="17">
        <v>2</v>
      </c>
      <c r="J8" s="17">
        <v>2</v>
      </c>
      <c r="K8" s="17">
        <v>1</v>
      </c>
      <c r="L8" s="17">
        <v>2</v>
      </c>
      <c r="M8" s="17">
        <v>3</v>
      </c>
      <c r="N8" s="18">
        <v>4</v>
      </c>
      <c r="O8" s="2"/>
    </row>
    <row r="9" spans="3:15" ht="12.75">
      <c r="C9" s="2"/>
      <c r="D9" s="2"/>
      <c r="E9" s="2"/>
      <c r="F9" s="2"/>
      <c r="G9" s="2"/>
      <c r="H9" s="2"/>
      <c r="I9" s="2"/>
      <c r="J9" s="2"/>
      <c r="K9" s="2"/>
      <c r="L9" s="2"/>
      <c r="M9" s="2"/>
      <c r="N9" s="2"/>
      <c r="O9" s="2"/>
    </row>
    <row r="10" spans="3:15" ht="12.75">
      <c r="C10" s="2"/>
      <c r="D10" s="2"/>
      <c r="E10" s="2"/>
      <c r="F10" s="2"/>
      <c r="G10" s="2"/>
      <c r="H10" s="2"/>
      <c r="I10" s="2"/>
      <c r="J10" s="2"/>
      <c r="K10" s="2"/>
      <c r="L10" s="2"/>
      <c r="M10" s="2"/>
      <c r="N10" s="2"/>
      <c r="O10" s="2"/>
    </row>
    <row r="11" spans="2:15" ht="12.75">
      <c r="B11" s="4" t="s">
        <v>13</v>
      </c>
      <c r="C11" s="2"/>
      <c r="D11" s="2"/>
      <c r="E11" s="2"/>
      <c r="F11" s="2"/>
      <c r="G11" s="2"/>
      <c r="H11" s="2"/>
      <c r="I11" s="2"/>
      <c r="J11" s="2"/>
      <c r="K11" s="2"/>
      <c r="L11" s="2"/>
      <c r="M11" s="2"/>
      <c r="N11" s="2"/>
      <c r="O11" s="2"/>
    </row>
    <row r="12" spans="3:15" ht="12.75">
      <c r="C12" s="2"/>
      <c r="D12" s="2" t="s">
        <v>17</v>
      </c>
      <c r="E12" s="2"/>
      <c r="F12" s="2"/>
      <c r="G12" s="2"/>
      <c r="H12" s="2"/>
      <c r="I12" s="2"/>
      <c r="J12" s="2"/>
      <c r="K12" s="2"/>
      <c r="L12" s="2"/>
      <c r="M12" s="2"/>
      <c r="N12" s="2"/>
      <c r="O12" s="2"/>
    </row>
    <row r="13" spans="3:15" ht="12.75">
      <c r="C13" s="2"/>
      <c r="D13" s="2" t="s">
        <v>14</v>
      </c>
      <c r="E13" s="2"/>
      <c r="F13" s="2"/>
      <c r="G13" s="2"/>
      <c r="H13" s="2"/>
      <c r="I13" s="2"/>
      <c r="J13" s="2"/>
      <c r="K13" s="2"/>
      <c r="L13" s="2"/>
      <c r="M13" s="2"/>
      <c r="N13" s="2"/>
      <c r="O13" s="2"/>
    </row>
    <row r="14" spans="3:15" ht="12.75">
      <c r="C14" s="2"/>
      <c r="D14" s="3" t="s">
        <v>10</v>
      </c>
      <c r="E14" s="2"/>
      <c r="F14" s="2"/>
      <c r="G14" s="2"/>
      <c r="H14" s="2"/>
      <c r="I14" s="2"/>
      <c r="J14" s="2"/>
      <c r="K14" s="2"/>
      <c r="L14" s="2"/>
      <c r="M14" s="2"/>
      <c r="N14" s="2"/>
      <c r="O14" s="2"/>
    </row>
    <row r="15" spans="3:15" ht="12.75">
      <c r="C15" s="2"/>
      <c r="D15" s="3" t="s">
        <v>11</v>
      </c>
      <c r="E15" s="2"/>
      <c r="F15" s="2"/>
      <c r="G15" s="2"/>
      <c r="H15" s="2"/>
      <c r="I15" s="2"/>
      <c r="J15" s="2"/>
      <c r="K15" s="2"/>
      <c r="L15" s="2"/>
      <c r="M15" s="2"/>
      <c r="N15" s="2"/>
      <c r="O15" s="2"/>
    </row>
    <row r="16" spans="3:15" ht="12.75">
      <c r="C16" s="2"/>
      <c r="D16" s="3" t="s">
        <v>16</v>
      </c>
      <c r="E16" s="2"/>
      <c r="F16" s="2"/>
      <c r="G16" s="2"/>
      <c r="H16" s="2"/>
      <c r="I16" s="2"/>
      <c r="J16" s="2"/>
      <c r="K16" s="2"/>
      <c r="L16" s="2"/>
      <c r="M16" s="2"/>
      <c r="N16" s="2"/>
      <c r="O16" s="2"/>
    </row>
    <row r="17" spans="4:15" ht="12.75">
      <c r="D17" s="2"/>
      <c r="E17" s="2"/>
      <c r="F17" s="2"/>
      <c r="G17" s="2"/>
      <c r="H17" s="2"/>
      <c r="I17" s="2"/>
      <c r="J17" s="2"/>
      <c r="K17" s="2"/>
      <c r="L17" s="2"/>
      <c r="M17" s="2"/>
      <c r="N17" s="2"/>
      <c r="O17" s="2"/>
    </row>
    <row r="18" spans="3:15" ht="12.75">
      <c r="C18" s="2"/>
      <c r="D18" s="2"/>
      <c r="E18" s="2"/>
      <c r="F18" s="2"/>
      <c r="G18" s="2"/>
      <c r="H18" s="2"/>
      <c r="I18" s="2"/>
      <c r="J18" s="2"/>
      <c r="K18" s="2"/>
      <c r="L18" s="2"/>
      <c r="M18" s="2"/>
      <c r="N18" s="2"/>
      <c r="O18" s="2"/>
    </row>
    <row r="19" spans="3:15" ht="12.75">
      <c r="C19" s="2"/>
      <c r="D19" s="2"/>
      <c r="E19" s="2"/>
      <c r="F19" s="2"/>
      <c r="G19" s="2"/>
      <c r="H19" s="2"/>
      <c r="I19" s="2"/>
      <c r="J19" s="2"/>
      <c r="K19" s="2"/>
      <c r="L19" s="2"/>
      <c r="M19" s="2"/>
      <c r="N19" s="2"/>
      <c r="O19" s="2"/>
    </row>
    <row r="20" spans="3:15" ht="12.75">
      <c r="C20" s="2"/>
      <c r="D20" s="2"/>
      <c r="E20" s="2"/>
      <c r="F20" s="2"/>
      <c r="G20" s="2"/>
      <c r="H20" s="2"/>
      <c r="I20" s="2"/>
      <c r="J20" s="2"/>
      <c r="K20" s="2"/>
      <c r="L20" s="2"/>
      <c r="M20" s="2"/>
      <c r="N20" s="2"/>
      <c r="O20" s="2"/>
    </row>
    <row r="21" spans="3:15" ht="12.75">
      <c r="C21" s="2"/>
      <c r="D21" s="2"/>
      <c r="E21" s="2"/>
      <c r="F21" s="2"/>
      <c r="G21" s="2"/>
      <c r="H21" s="2"/>
      <c r="I21" s="2"/>
      <c r="J21" s="2"/>
      <c r="K21" s="2"/>
      <c r="L21" s="2"/>
      <c r="M21" s="2"/>
      <c r="N21" s="2"/>
      <c r="O21" s="2"/>
    </row>
    <row r="22" spans="3:15" ht="12.75">
      <c r="C22" s="2"/>
      <c r="D22" s="2"/>
      <c r="E22" s="2"/>
      <c r="F22" s="2"/>
      <c r="G22" s="2"/>
      <c r="H22" s="2"/>
      <c r="I22" s="2"/>
      <c r="J22" s="2"/>
      <c r="K22" s="2"/>
      <c r="L22" s="2"/>
      <c r="M22" s="2"/>
      <c r="N22" s="2"/>
      <c r="O22" s="2"/>
    </row>
    <row r="23" spans="3:15" ht="12.75">
      <c r="C23" s="2"/>
      <c r="D23" s="2"/>
      <c r="E23" s="2"/>
      <c r="F23" s="2"/>
      <c r="G23" s="2"/>
      <c r="H23" s="2"/>
      <c r="I23" s="2"/>
      <c r="J23" s="2"/>
      <c r="K23" s="2"/>
      <c r="L23" s="2"/>
      <c r="M23" s="2"/>
      <c r="N23" s="2"/>
      <c r="O23" s="2"/>
    </row>
    <row r="24" spans="3:15" ht="12.75">
      <c r="C24" s="2"/>
      <c r="D24" s="2"/>
      <c r="E24" s="2"/>
      <c r="F24" s="2"/>
      <c r="G24" s="2"/>
      <c r="H24" s="2"/>
      <c r="I24" s="2"/>
      <c r="J24" s="2"/>
      <c r="K24" s="2"/>
      <c r="L24" s="2"/>
      <c r="M24" s="2"/>
      <c r="N24" s="2"/>
      <c r="O24" s="2"/>
    </row>
    <row r="25" spans="3:15" ht="12.75">
      <c r="C25" s="2"/>
      <c r="D25" s="2"/>
      <c r="E25" s="2"/>
      <c r="F25" s="2"/>
      <c r="G25" s="2"/>
      <c r="H25" s="2"/>
      <c r="I25" s="2"/>
      <c r="J25" s="2"/>
      <c r="K25" s="2"/>
      <c r="L25" s="2"/>
      <c r="M25" s="2"/>
      <c r="N25" s="2"/>
      <c r="O25" s="2"/>
    </row>
    <row r="26" spans="3:15" ht="12.75">
      <c r="C26" s="2"/>
      <c r="D26" s="2"/>
      <c r="E26" s="2"/>
      <c r="F26" s="2"/>
      <c r="G26" s="2"/>
      <c r="H26" s="2"/>
      <c r="I26" s="2"/>
      <c r="J26" s="2"/>
      <c r="K26" s="2"/>
      <c r="L26" s="2"/>
      <c r="M26" s="2"/>
      <c r="N26" s="2"/>
      <c r="O26" s="2"/>
    </row>
    <row r="27" spans="3:15" ht="12.75">
      <c r="C27" s="2"/>
      <c r="D27" s="2"/>
      <c r="E27" s="2"/>
      <c r="F27" s="2"/>
      <c r="G27" s="2"/>
      <c r="H27" s="2"/>
      <c r="I27" s="2"/>
      <c r="J27" s="2"/>
      <c r="K27" s="2"/>
      <c r="L27" s="2"/>
      <c r="M27" s="2"/>
      <c r="N27" s="2"/>
      <c r="O27" s="2"/>
    </row>
    <row r="28" spans="3:15" ht="12.75">
      <c r="C28" s="2"/>
      <c r="D28" s="2"/>
      <c r="E28" s="2"/>
      <c r="F28" s="2"/>
      <c r="G28" s="2"/>
      <c r="H28" s="2"/>
      <c r="I28" s="2"/>
      <c r="J28" s="2"/>
      <c r="K28" s="2"/>
      <c r="L28" s="2"/>
      <c r="M28" s="2"/>
      <c r="N28" s="2"/>
      <c r="O28" s="2"/>
    </row>
    <row r="29" spans="3:15" ht="12.75">
      <c r="C29" s="2"/>
      <c r="D29" s="2"/>
      <c r="E29" s="2"/>
      <c r="F29" s="2"/>
      <c r="G29" s="2"/>
      <c r="H29" s="2"/>
      <c r="I29" s="2"/>
      <c r="J29" s="2"/>
      <c r="K29" s="2"/>
      <c r="L29" s="2"/>
      <c r="M29" s="2"/>
      <c r="N29" s="2"/>
      <c r="O29" s="2"/>
    </row>
    <row r="30" spans="3:15" ht="12.75">
      <c r="C30" s="2"/>
      <c r="D30" s="2"/>
      <c r="E30" s="2"/>
      <c r="F30" s="2"/>
      <c r="G30" s="2"/>
      <c r="H30" s="2"/>
      <c r="I30" s="2"/>
      <c r="J30" s="2"/>
      <c r="K30" s="2"/>
      <c r="L30" s="2"/>
      <c r="M30" s="2"/>
      <c r="N30" s="2"/>
      <c r="O30" s="2"/>
    </row>
    <row r="31" spans="3:15" ht="12.75">
      <c r="C31" s="2"/>
      <c r="D31" s="2"/>
      <c r="E31" s="2"/>
      <c r="F31" s="2"/>
      <c r="G31" s="2"/>
      <c r="H31" s="2"/>
      <c r="I31" s="2"/>
      <c r="J31" s="2"/>
      <c r="K31" s="2"/>
      <c r="L31" s="2"/>
      <c r="M31" s="2"/>
      <c r="N31" s="2"/>
      <c r="O31" s="2"/>
    </row>
    <row r="32" spans="3:15" ht="12.75">
      <c r="C32" s="2"/>
      <c r="D32" s="2"/>
      <c r="E32" s="2"/>
      <c r="F32" s="2"/>
      <c r="G32" s="2"/>
      <c r="H32" s="2"/>
      <c r="I32" s="2"/>
      <c r="J32" s="2"/>
      <c r="K32" s="2"/>
      <c r="L32" s="2"/>
      <c r="M32" s="2"/>
      <c r="N32" s="2"/>
      <c r="O32" s="2"/>
    </row>
    <row r="33" spans="3:15" ht="12.75">
      <c r="C33" s="2"/>
      <c r="D33" s="2"/>
      <c r="E33" s="2"/>
      <c r="F33" s="2"/>
      <c r="G33" s="2"/>
      <c r="H33" s="2"/>
      <c r="I33" s="2"/>
      <c r="J33" s="2"/>
      <c r="K33" s="2"/>
      <c r="L33" s="2"/>
      <c r="M33" s="2"/>
      <c r="N33" s="2"/>
      <c r="O33" s="2"/>
    </row>
    <row r="34" spans="3:15" ht="12.75">
      <c r="C34" s="2"/>
      <c r="D34" s="2"/>
      <c r="E34" s="2"/>
      <c r="F34" s="2"/>
      <c r="G34" s="2"/>
      <c r="H34" s="2"/>
      <c r="I34" s="2"/>
      <c r="J34" s="2"/>
      <c r="K34" s="2"/>
      <c r="L34" s="2"/>
      <c r="M34" s="2"/>
      <c r="N34" s="2"/>
      <c r="O34" s="2"/>
    </row>
    <row r="35" spans="3:15" ht="12.75">
      <c r="C35" s="2"/>
      <c r="D35" s="2"/>
      <c r="E35" s="2"/>
      <c r="F35" s="2"/>
      <c r="G35" s="2"/>
      <c r="H35" s="2"/>
      <c r="I35" s="2"/>
      <c r="J35" s="2"/>
      <c r="K35" s="2"/>
      <c r="L35" s="2"/>
      <c r="M35" s="2"/>
      <c r="N35" s="2"/>
      <c r="O35" s="2"/>
    </row>
    <row r="36" spans="3:15" ht="12.75">
      <c r="C36" s="2"/>
      <c r="D36" s="2"/>
      <c r="E36" s="2"/>
      <c r="F36" s="2"/>
      <c r="G36" s="2"/>
      <c r="H36" s="2"/>
      <c r="I36" s="2"/>
      <c r="J36" s="2"/>
      <c r="K36" s="2"/>
      <c r="L36" s="2"/>
      <c r="M36" s="2"/>
      <c r="N36" s="2"/>
      <c r="O36" s="2"/>
    </row>
    <row r="37" spans="3:15" ht="12.75">
      <c r="C37" s="2"/>
      <c r="D37" s="2"/>
      <c r="E37" s="2"/>
      <c r="F37" s="2"/>
      <c r="G37" s="2"/>
      <c r="H37" s="2"/>
      <c r="I37" s="2"/>
      <c r="J37" s="2"/>
      <c r="K37" s="2"/>
      <c r="L37" s="2"/>
      <c r="M37" s="2"/>
      <c r="N37" s="2"/>
      <c r="O37" s="2"/>
    </row>
    <row r="38" spans="3:15" ht="12.75">
      <c r="C38" s="2"/>
      <c r="D38" s="2"/>
      <c r="E38" s="2"/>
      <c r="F38" s="2"/>
      <c r="G38" s="2"/>
      <c r="H38" s="2"/>
      <c r="I38" s="2"/>
      <c r="J38" s="2"/>
      <c r="K38" s="2"/>
      <c r="L38" s="2"/>
      <c r="M38" s="2"/>
      <c r="N38" s="2"/>
      <c r="O38" s="2"/>
    </row>
    <row r="39" spans="3:15" ht="12.75">
      <c r="C39" s="2"/>
      <c r="D39" s="2"/>
      <c r="E39" s="2"/>
      <c r="F39" s="2"/>
      <c r="G39" s="2"/>
      <c r="H39" s="2"/>
      <c r="I39" s="2"/>
      <c r="J39" s="2"/>
      <c r="K39" s="2"/>
      <c r="L39" s="2"/>
      <c r="M39" s="2"/>
      <c r="N39" s="2"/>
      <c r="O39" s="2"/>
    </row>
    <row r="40" spans="3:15" ht="12.75">
      <c r="C40" s="2"/>
      <c r="D40" s="2"/>
      <c r="E40" s="2"/>
      <c r="F40" s="2"/>
      <c r="G40" s="2"/>
      <c r="H40" s="2"/>
      <c r="I40" s="2"/>
      <c r="J40" s="2"/>
      <c r="K40" s="2"/>
      <c r="L40" s="2"/>
      <c r="M40" s="2"/>
      <c r="N40" s="2"/>
      <c r="O40" s="2"/>
    </row>
    <row r="41" spans="3:15" ht="12.75">
      <c r="C41" s="2"/>
      <c r="D41" s="2"/>
      <c r="E41" s="2"/>
      <c r="F41" s="2"/>
      <c r="G41" s="2"/>
      <c r="H41" s="2"/>
      <c r="I41" s="2"/>
      <c r="J41" s="2"/>
      <c r="K41" s="2"/>
      <c r="L41" s="2"/>
      <c r="M41" s="2"/>
      <c r="N41" s="2"/>
      <c r="O41" s="2"/>
    </row>
    <row r="42" spans="3:15" ht="12.75">
      <c r="C42" s="2"/>
      <c r="D42" s="2"/>
      <c r="E42" s="2"/>
      <c r="F42" s="2"/>
      <c r="G42" s="2"/>
      <c r="H42" s="2"/>
      <c r="I42" s="2"/>
      <c r="J42" s="2"/>
      <c r="K42" s="2"/>
      <c r="L42" s="2"/>
      <c r="M42" s="2"/>
      <c r="N42" s="2"/>
      <c r="O42" s="2"/>
    </row>
    <row r="43" spans="3:15" ht="12.75">
      <c r="C43" s="2"/>
      <c r="D43" s="2"/>
      <c r="E43" s="2"/>
      <c r="F43" s="2"/>
      <c r="G43" s="2"/>
      <c r="H43" s="2"/>
      <c r="I43" s="2"/>
      <c r="J43" s="2"/>
      <c r="K43" s="2"/>
      <c r="L43" s="2"/>
      <c r="M43" s="2"/>
      <c r="N43" s="2"/>
      <c r="O43" s="2"/>
    </row>
    <row r="44" spans="3:15" ht="12.75">
      <c r="C44" s="2"/>
      <c r="D44" s="2"/>
      <c r="E44" s="2"/>
      <c r="F44" s="2"/>
      <c r="G44" s="2"/>
      <c r="H44" s="2"/>
      <c r="I44" s="2"/>
      <c r="J44" s="2"/>
      <c r="K44" s="2"/>
      <c r="L44" s="2"/>
      <c r="M44" s="2"/>
      <c r="N44" s="2"/>
      <c r="O44" s="2"/>
    </row>
    <row r="45" spans="3:15" ht="12.75">
      <c r="C45" s="2"/>
      <c r="D45" s="2"/>
      <c r="E45" s="2"/>
      <c r="F45" s="2"/>
      <c r="G45" s="2"/>
      <c r="H45" s="2"/>
      <c r="I45" s="2"/>
      <c r="J45" s="2"/>
      <c r="K45" s="2"/>
      <c r="L45" s="2"/>
      <c r="M45" s="2"/>
      <c r="N45" s="2"/>
      <c r="O45" s="2"/>
    </row>
    <row r="46" spans="3:15" ht="12.75">
      <c r="C46" s="2"/>
      <c r="D46" s="2"/>
      <c r="E46" s="2"/>
      <c r="F46" s="2"/>
      <c r="G46" s="2"/>
      <c r="H46" s="2"/>
      <c r="I46" s="2"/>
      <c r="J46" s="2"/>
      <c r="K46" s="2"/>
      <c r="L46" s="2"/>
      <c r="M46" s="2"/>
      <c r="N46" s="2"/>
      <c r="O46" s="2"/>
    </row>
    <row r="47" spans="3:15" ht="12.75">
      <c r="C47" s="2"/>
      <c r="D47" s="2"/>
      <c r="E47" s="2"/>
      <c r="F47" s="2"/>
      <c r="G47" s="2"/>
      <c r="H47" s="2"/>
      <c r="I47" s="2"/>
      <c r="J47" s="2"/>
      <c r="K47" s="2"/>
      <c r="L47" s="2"/>
      <c r="M47" s="2"/>
      <c r="N47" s="2"/>
      <c r="O47" s="2"/>
    </row>
    <row r="48" spans="3:15" ht="12.75">
      <c r="C48" s="2"/>
      <c r="D48" s="2"/>
      <c r="E48" s="2"/>
      <c r="F48" s="2"/>
      <c r="G48" s="2"/>
      <c r="H48" s="2"/>
      <c r="I48" s="2"/>
      <c r="J48" s="2"/>
      <c r="K48" s="2"/>
      <c r="L48" s="2"/>
      <c r="M48" s="2"/>
      <c r="N48" s="2"/>
      <c r="O48" s="2"/>
    </row>
    <row r="49" spans="3:15" ht="12.75">
      <c r="C49" s="2"/>
      <c r="D49" s="2"/>
      <c r="E49" s="2"/>
      <c r="F49" s="2"/>
      <c r="G49" s="2"/>
      <c r="H49" s="2"/>
      <c r="I49" s="2"/>
      <c r="J49" s="2"/>
      <c r="K49" s="2"/>
      <c r="L49" s="2"/>
      <c r="M49" s="2"/>
      <c r="N49" s="2"/>
      <c r="O49" s="2"/>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Feuil5"/>
  <dimension ref="B2:P12"/>
  <sheetViews>
    <sheetView workbookViewId="0" topLeftCell="A1">
      <selection activeCell="I16" sqref="I16"/>
    </sheetView>
  </sheetViews>
  <sheetFormatPr defaultColWidth="11.421875" defaultRowHeight="12.75"/>
  <cols>
    <col min="1" max="1" width="3.7109375" style="0" customWidth="1"/>
    <col min="2" max="2" width="2.421875" style="0" customWidth="1"/>
    <col min="3" max="3" width="17.28125" style="0" customWidth="1"/>
    <col min="4" max="10" width="5.7109375" style="0" customWidth="1"/>
    <col min="11" max="11" width="7.00390625" style="0" customWidth="1"/>
    <col min="12" max="15" width="5.7109375" style="0" customWidth="1"/>
    <col min="16" max="16384" width="9.140625" style="0" customWidth="1"/>
  </cols>
  <sheetData>
    <row r="2" ht="13.5" thickBot="1">
      <c r="C2" s="1"/>
    </row>
    <row r="3" spans="3:15" ht="13.5" thickBot="1">
      <c r="C3" s="1"/>
      <c r="D3" s="11"/>
      <c r="E3" s="8" t="s">
        <v>0</v>
      </c>
      <c r="F3" s="9"/>
      <c r="G3" s="10"/>
      <c r="H3" s="11"/>
      <c r="I3" s="8" t="s">
        <v>1</v>
      </c>
      <c r="J3" s="9"/>
      <c r="K3" s="10"/>
      <c r="L3" s="11"/>
      <c r="M3" s="8" t="s">
        <v>2</v>
      </c>
      <c r="N3" s="9"/>
      <c r="O3" s="10"/>
    </row>
    <row r="4" spans="3:15" ht="90.75" thickBot="1">
      <c r="C4" s="1"/>
      <c r="D4" s="22" t="s">
        <v>3</v>
      </c>
      <c r="E4" s="12" t="s">
        <v>4</v>
      </c>
      <c r="F4" s="12" t="s">
        <v>5</v>
      </c>
      <c r="G4" s="12" t="s">
        <v>6</v>
      </c>
      <c r="H4" s="12" t="s">
        <v>3</v>
      </c>
      <c r="I4" s="12" t="s">
        <v>4</v>
      </c>
      <c r="J4" s="12" t="s">
        <v>5</v>
      </c>
      <c r="K4" s="12" t="s">
        <v>6</v>
      </c>
      <c r="L4" s="12" t="s">
        <v>3</v>
      </c>
      <c r="M4" s="12" t="s">
        <v>4</v>
      </c>
      <c r="N4" s="12" t="s">
        <v>5</v>
      </c>
      <c r="O4" s="23" t="s">
        <v>6</v>
      </c>
    </row>
    <row r="5" spans="2:15" ht="14.25" customHeight="1" thickBot="1">
      <c r="B5" s="1"/>
      <c r="D5">
        <v>1</v>
      </c>
      <c r="E5">
        <v>2</v>
      </c>
      <c r="F5">
        <v>3</v>
      </c>
      <c r="G5">
        <v>4</v>
      </c>
      <c r="H5">
        <v>5</v>
      </c>
      <c r="I5">
        <v>6</v>
      </c>
      <c r="J5">
        <v>7</v>
      </c>
      <c r="K5">
        <v>8</v>
      </c>
      <c r="L5">
        <v>9</v>
      </c>
      <c r="M5">
        <v>10</v>
      </c>
      <c r="N5">
        <v>11</v>
      </c>
      <c r="O5">
        <v>12</v>
      </c>
    </row>
    <row r="6" spans="3:16" ht="42.75" customHeight="1" thickBot="1">
      <c r="C6" s="7" t="s">
        <v>9</v>
      </c>
      <c r="D6" s="20">
        <v>1</v>
      </c>
      <c r="E6" s="20">
        <v>1</v>
      </c>
      <c r="F6" s="20">
        <v>1</v>
      </c>
      <c r="G6" s="20">
        <v>1</v>
      </c>
      <c r="H6" s="20">
        <v>1</v>
      </c>
      <c r="I6" s="20">
        <v>1</v>
      </c>
      <c r="J6" s="20">
        <v>1</v>
      </c>
      <c r="K6" s="20">
        <v>1</v>
      </c>
      <c r="L6" s="20">
        <v>1</v>
      </c>
      <c r="M6" s="20">
        <v>1</v>
      </c>
      <c r="N6" s="20">
        <v>1</v>
      </c>
      <c r="O6" s="21">
        <v>1</v>
      </c>
      <c r="P6" s="2"/>
    </row>
    <row r="7" spans="3:16" ht="29.25" customHeight="1" thickBot="1">
      <c r="C7" s="7" t="s">
        <v>7</v>
      </c>
      <c r="D7" s="20">
        <v>1</v>
      </c>
      <c r="E7" s="20">
        <v>1</v>
      </c>
      <c r="F7" s="20">
        <v>2</v>
      </c>
      <c r="G7" s="20">
        <v>3</v>
      </c>
      <c r="H7" s="20">
        <v>1</v>
      </c>
      <c r="I7" s="20">
        <v>1</v>
      </c>
      <c r="J7" s="20">
        <v>2</v>
      </c>
      <c r="K7" s="20">
        <v>3</v>
      </c>
      <c r="L7" s="20">
        <v>1</v>
      </c>
      <c r="M7" s="20">
        <v>2</v>
      </c>
      <c r="N7" s="20">
        <v>2</v>
      </c>
      <c r="O7" s="21">
        <v>3</v>
      </c>
      <c r="P7" s="2"/>
    </row>
    <row r="8" spans="3:16" ht="27.75" customHeight="1" thickBot="1">
      <c r="C8" s="7" t="s">
        <v>8</v>
      </c>
      <c r="D8" s="20">
        <v>1</v>
      </c>
      <c r="E8" s="20">
        <v>1</v>
      </c>
      <c r="F8" s="20">
        <v>2</v>
      </c>
      <c r="G8" s="20">
        <v>3</v>
      </c>
      <c r="H8" s="20">
        <v>1</v>
      </c>
      <c r="I8" s="20">
        <v>1</v>
      </c>
      <c r="J8" s="20">
        <v>2</v>
      </c>
      <c r="K8" s="20">
        <v>3</v>
      </c>
      <c r="L8" s="20">
        <v>1</v>
      </c>
      <c r="M8" s="20">
        <v>1</v>
      </c>
      <c r="N8" s="20">
        <v>2</v>
      </c>
      <c r="O8" s="21">
        <v>3</v>
      </c>
      <c r="P8" s="2"/>
    </row>
    <row r="9" spans="3:16" ht="12.75">
      <c r="C9" s="1"/>
      <c r="D9" s="2"/>
      <c r="E9" s="2"/>
      <c r="F9" s="2"/>
      <c r="G9" s="2"/>
      <c r="H9" s="2"/>
      <c r="I9" s="2"/>
      <c r="J9" s="2"/>
      <c r="K9" s="2"/>
      <c r="L9" s="2"/>
      <c r="M9" s="2"/>
      <c r="N9" s="2"/>
      <c r="O9" s="2"/>
      <c r="P9" s="2"/>
    </row>
    <row r="10" spans="3:16" ht="12.75">
      <c r="C10" s="1"/>
      <c r="D10" s="2"/>
      <c r="E10" s="2"/>
      <c r="F10" s="2"/>
      <c r="G10" s="2"/>
      <c r="H10" s="2"/>
      <c r="I10" s="2"/>
      <c r="J10" s="2"/>
      <c r="K10" s="2"/>
      <c r="L10" s="2"/>
      <c r="M10" s="2"/>
      <c r="N10" s="2"/>
      <c r="O10" s="2"/>
      <c r="P10" s="2"/>
    </row>
    <row r="11" spans="3:16" ht="12.75">
      <c r="C11" s="1"/>
      <c r="D11" s="2"/>
      <c r="E11" s="2"/>
      <c r="F11" s="2"/>
      <c r="G11" s="2"/>
      <c r="H11" s="2"/>
      <c r="I11" s="2"/>
      <c r="J11" s="2"/>
      <c r="K11" s="2"/>
      <c r="L11" s="2"/>
      <c r="M11" s="2"/>
      <c r="N11" s="2"/>
      <c r="O11" s="2"/>
      <c r="P11" s="2"/>
    </row>
    <row r="12" ht="12.75">
      <c r="C12" t="s">
        <v>12</v>
      </c>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Feuil6"/>
  <dimension ref="B2:K38"/>
  <sheetViews>
    <sheetView workbookViewId="0" topLeftCell="A1">
      <selection activeCell="H17" sqref="H16:H17"/>
    </sheetView>
  </sheetViews>
  <sheetFormatPr defaultColWidth="11.421875" defaultRowHeight="12.75"/>
  <cols>
    <col min="11" max="11" width="13.8515625" style="0" bestFit="1" customWidth="1"/>
  </cols>
  <sheetData>
    <row r="2" spans="2:8" ht="12.75">
      <c r="B2" t="s">
        <v>80</v>
      </c>
      <c r="C2" t="s">
        <v>81</v>
      </c>
      <c r="E2" t="s">
        <v>86</v>
      </c>
      <c r="G2" t="s">
        <v>130</v>
      </c>
      <c r="H2" t="s">
        <v>81</v>
      </c>
    </row>
    <row r="3" spans="2:8" ht="12.75">
      <c r="B3" t="s">
        <v>26</v>
      </c>
      <c r="C3">
        <v>0.1</v>
      </c>
      <c r="G3">
        <v>1</v>
      </c>
      <c r="H3">
        <v>400</v>
      </c>
    </row>
    <row r="4" spans="2:8" ht="12.75">
      <c r="B4" t="s">
        <v>25</v>
      </c>
      <c r="C4">
        <v>0.25</v>
      </c>
      <c r="G4">
        <v>5</v>
      </c>
      <c r="H4">
        <v>200</v>
      </c>
    </row>
    <row r="5" spans="2:8" ht="12.75">
      <c r="B5" t="s">
        <v>24</v>
      </c>
      <c r="C5">
        <v>2.5</v>
      </c>
      <c r="G5">
        <v>10</v>
      </c>
      <c r="H5">
        <v>10</v>
      </c>
    </row>
    <row r="6" spans="2:8" ht="12.75">
      <c r="B6" t="s">
        <v>83</v>
      </c>
      <c r="C6">
        <v>10</v>
      </c>
      <c r="G6">
        <v>20</v>
      </c>
      <c r="H6">
        <v>2.5</v>
      </c>
    </row>
    <row r="7" spans="2:8" ht="12.75">
      <c r="B7" t="s">
        <v>84</v>
      </c>
      <c r="C7">
        <v>200</v>
      </c>
      <c r="G7">
        <v>50</v>
      </c>
      <c r="H7">
        <v>0.25</v>
      </c>
    </row>
    <row r="8" spans="2:8" ht="12.75">
      <c r="B8" t="s">
        <v>85</v>
      </c>
      <c r="C8">
        <v>400</v>
      </c>
      <c r="G8">
        <v>100</v>
      </c>
      <c r="H8">
        <v>0.1</v>
      </c>
    </row>
    <row r="11" spans="2:10" ht="12.75">
      <c r="B11" s="106"/>
      <c r="C11" s="106"/>
      <c r="D11" s="107"/>
      <c r="E11" s="107"/>
      <c r="F11" s="107"/>
      <c r="G11" s="106"/>
      <c r="H11" s="87"/>
      <c r="I11" s="77"/>
      <c r="J11" s="77"/>
    </row>
    <row r="12" ht="12.75">
      <c r="B12" s="106"/>
    </row>
    <row r="13" spans="2:10" ht="12.75">
      <c r="B13" s="87"/>
      <c r="C13" s="110" t="str">
        <f>'Business case'!J59</f>
        <v>Current Geodata Description</v>
      </c>
      <c r="D13" s="106"/>
      <c r="E13" s="106"/>
      <c r="F13" s="106"/>
      <c r="G13" s="106"/>
      <c r="H13" s="87"/>
      <c r="I13" s="77"/>
      <c r="J13" s="77"/>
    </row>
    <row r="14" spans="2:10" ht="12.75">
      <c r="B14" s="87"/>
      <c r="C14" s="111" t="str">
        <f>'Business case'!J60</f>
        <v>Geodata</v>
      </c>
      <c r="D14" s="111" t="str">
        <f>'Business case'!K60</f>
        <v>area</v>
      </c>
      <c r="E14" s="111" t="str">
        <f>'Business case'!L60</f>
        <v>1M</v>
      </c>
      <c r="F14" s="111" t="str">
        <f>'Business case'!M60</f>
        <v>5M</v>
      </c>
      <c r="G14" s="111" t="str">
        <f>'Business case'!N60</f>
        <v>20M</v>
      </c>
      <c r="H14" s="111" t="str">
        <f>'Business case'!O60</f>
        <v>No CD</v>
      </c>
      <c r="I14" s="87"/>
      <c r="J14" s="77"/>
    </row>
    <row r="15" spans="2:11" ht="12.75">
      <c r="B15" s="87"/>
      <c r="C15" s="112" t="str">
        <f>'Business case'!J61</f>
        <v>Very major cities / difficult Topo</v>
      </c>
      <c r="D15" s="106">
        <f>'Business case'!C61</f>
        <v>500</v>
      </c>
      <c r="E15" s="106">
        <f>'Business case'!L61</f>
        <v>0</v>
      </c>
      <c r="F15" s="106">
        <f>'Business case'!M61</f>
        <v>0</v>
      </c>
      <c r="G15" s="106">
        <f>'Business case'!N61</f>
        <v>0</v>
      </c>
      <c r="H15" s="106">
        <f>'Business case'!O61</f>
        <v>1</v>
      </c>
      <c r="I15" s="87">
        <f>'Business case'!P61</f>
        <v>4</v>
      </c>
      <c r="J15" s="77"/>
      <c r="K15" s="113">
        <f>D15*SUMPRODUCT(E15:H15,E19:H19)</f>
        <v>0</v>
      </c>
    </row>
    <row r="16" spans="2:11" ht="12.75">
      <c r="B16" s="87"/>
      <c r="C16" s="112" t="str">
        <f>'Business case'!J62</f>
        <v>Urban / average topo</v>
      </c>
      <c r="D16" s="106">
        <f>'Business case'!C62</f>
        <v>5000</v>
      </c>
      <c r="E16" s="106">
        <f>'Business case'!L62</f>
        <v>0</v>
      </c>
      <c r="F16" s="106">
        <f>'Business case'!M62</f>
        <v>0</v>
      </c>
      <c r="G16" s="106">
        <f>'Business case'!N62</f>
        <v>0</v>
      </c>
      <c r="H16" s="106">
        <f>'Business case'!O62</f>
        <v>1</v>
      </c>
      <c r="I16" s="87">
        <f>'Business case'!P62</f>
        <v>4</v>
      </c>
      <c r="J16" s="77"/>
      <c r="K16" s="113">
        <f>D16*SUMPRODUCT(E16:H16,E19:H19)</f>
        <v>0</v>
      </c>
    </row>
    <row r="17" spans="2:11" ht="12.75">
      <c r="B17" s="87"/>
      <c r="C17" s="112" t="str">
        <f>'Business case'!J63</f>
        <v>Non Urban / symple topo</v>
      </c>
      <c r="D17" s="106">
        <f>'Business case'!C63</f>
        <v>200000</v>
      </c>
      <c r="E17" s="106">
        <f>'Business case'!L63</f>
        <v>0</v>
      </c>
      <c r="F17" s="106">
        <f>'Business case'!M63</f>
        <v>0</v>
      </c>
      <c r="G17" s="106">
        <f>'Business case'!N63</f>
        <v>0</v>
      </c>
      <c r="H17" s="106">
        <f>'Business case'!O63</f>
        <v>1</v>
      </c>
      <c r="I17" s="87">
        <f>'Business case'!P63</f>
        <v>4</v>
      </c>
      <c r="J17" s="77"/>
      <c r="K17" s="113">
        <f>D17*SUMPRODUCT(E17:H17,E19:H19)</f>
        <v>0</v>
      </c>
    </row>
    <row r="18" spans="2:10" ht="12.75">
      <c r="B18" s="77"/>
      <c r="C18" s="87"/>
      <c r="D18" s="87"/>
      <c r="E18" s="87"/>
      <c r="F18" s="87"/>
      <c r="G18" s="87"/>
      <c r="H18" s="87"/>
      <c r="I18" s="77"/>
      <c r="J18" s="77"/>
    </row>
    <row r="19" spans="3:11" ht="12.75">
      <c r="C19" t="s">
        <v>81</v>
      </c>
      <c r="D19" s="77"/>
      <c r="E19" s="77">
        <f>E29</f>
        <v>400</v>
      </c>
      <c r="F19" s="77">
        <f>F29</f>
        <v>10</v>
      </c>
      <c r="G19" s="77">
        <f>G29</f>
        <v>1.75</v>
      </c>
      <c r="H19" s="77">
        <f>H29</f>
        <v>0</v>
      </c>
      <c r="I19" s="77"/>
      <c r="J19" s="77" t="s">
        <v>87</v>
      </c>
      <c r="K19" s="113">
        <f>SUM(K15:K18)</f>
        <v>0</v>
      </c>
    </row>
    <row r="23" spans="3:10" ht="12.75">
      <c r="C23" s="110" t="s">
        <v>46</v>
      </c>
      <c r="D23" s="106"/>
      <c r="E23" s="106"/>
      <c r="F23" s="106"/>
      <c r="G23" s="106"/>
      <c r="H23" s="87"/>
      <c r="I23" s="77"/>
      <c r="J23" s="77"/>
    </row>
    <row r="24" spans="3:10" ht="12.75">
      <c r="C24" s="111" t="s">
        <v>20</v>
      </c>
      <c r="D24" s="111" t="s">
        <v>21</v>
      </c>
      <c r="E24" s="111" t="s">
        <v>58</v>
      </c>
      <c r="F24" s="111" t="s">
        <v>59</v>
      </c>
      <c r="G24" s="111" t="s">
        <v>60</v>
      </c>
      <c r="H24" s="111" t="s">
        <v>6</v>
      </c>
      <c r="I24" s="87"/>
      <c r="J24" s="77"/>
    </row>
    <row r="25" spans="3:11" ht="12.75">
      <c r="C25" s="112" t="s">
        <v>34</v>
      </c>
      <c r="D25" s="106">
        <f>'Business case'!$C$61</f>
        <v>500</v>
      </c>
      <c r="E25" s="106">
        <f>IF($I25=1,1,0)</f>
        <v>0</v>
      </c>
      <c r="F25" s="106">
        <f>IF($I25=2,1,0)</f>
        <v>1</v>
      </c>
      <c r="G25" s="106">
        <f>IF($I25=3,1,0)</f>
        <v>0</v>
      </c>
      <c r="H25" s="106">
        <f>IF($I25=4,1,0)</f>
        <v>0</v>
      </c>
      <c r="I25" s="87">
        <f>'Business case'!P76</f>
        <v>2</v>
      </c>
      <c r="J25" s="77"/>
      <c r="K25" s="113">
        <f>D25*SUMPRODUCT(E25:H25,E29:H29)</f>
        <v>5000</v>
      </c>
    </row>
    <row r="26" spans="3:11" ht="12.75">
      <c r="C26" s="112" t="s">
        <v>33</v>
      </c>
      <c r="D26" s="106">
        <f>'Business case'!$C$62</f>
        <v>5000</v>
      </c>
      <c r="E26" s="106">
        <f>IF($I26=1,1,0)</f>
        <v>0</v>
      </c>
      <c r="F26" s="106">
        <f>IF($I26=2,1,0)</f>
        <v>0</v>
      </c>
      <c r="G26" s="106">
        <f>IF($I26=3,1,0)</f>
        <v>1</v>
      </c>
      <c r="H26" s="106">
        <f>IF($I26=4,1,0)</f>
        <v>0</v>
      </c>
      <c r="I26" s="87">
        <f>'Business case'!P77</f>
        <v>3</v>
      </c>
      <c r="J26" s="77"/>
      <c r="K26" s="113">
        <f>D26*SUMPRODUCT(E26:H26,E29:H29)</f>
        <v>8750</v>
      </c>
    </row>
    <row r="27" spans="3:11" ht="12.75">
      <c r="C27" s="112" t="s">
        <v>32</v>
      </c>
      <c r="D27" s="106">
        <f>'Business case'!$C$63</f>
        <v>200000</v>
      </c>
      <c r="E27" s="106">
        <f>IF($I27=1,1,0)</f>
        <v>0</v>
      </c>
      <c r="F27" s="106">
        <f>IF($I27=2,1,0)</f>
        <v>0</v>
      </c>
      <c r="G27" s="106">
        <f>IF($I27=3,1,0)</f>
        <v>0</v>
      </c>
      <c r="H27" s="106">
        <f>IF($I27=4,1,0)</f>
        <v>1</v>
      </c>
      <c r="I27" s="87">
        <f>'Business case'!P78</f>
        <v>4</v>
      </c>
      <c r="J27" s="77"/>
      <c r="K27" s="113">
        <f>D27*SUMPRODUCT(E27:H27,E29:H29)</f>
        <v>0</v>
      </c>
    </row>
    <row r="28" spans="3:10" ht="12.75">
      <c r="C28" s="87"/>
      <c r="D28" s="87"/>
      <c r="E28" s="87"/>
      <c r="F28" s="87"/>
      <c r="G28" s="87"/>
      <c r="H28" s="87"/>
      <c r="I28" s="77"/>
      <c r="J28" s="77"/>
    </row>
    <row r="29" spans="3:11" ht="12.75">
      <c r="C29" t="s">
        <v>81</v>
      </c>
      <c r="D29" s="77"/>
      <c r="E29" s="188">
        <f>C8</f>
        <v>400</v>
      </c>
      <c r="F29" s="188">
        <f>C6</f>
        <v>10</v>
      </c>
      <c r="G29" s="188">
        <v>1.75</v>
      </c>
      <c r="H29" s="188">
        <v>0</v>
      </c>
      <c r="I29" s="77"/>
      <c r="J29" s="77" t="s">
        <v>87</v>
      </c>
      <c r="K29" s="113">
        <f>SUM(K25:K28)</f>
        <v>13750</v>
      </c>
    </row>
    <row r="32" ht="12.75">
      <c r="C32" t="s">
        <v>128</v>
      </c>
    </row>
    <row r="33" spans="3:8" ht="12.75">
      <c r="C33" s="111" t="s">
        <v>20</v>
      </c>
      <c r="D33" s="111" t="s">
        <v>21</v>
      </c>
      <c r="E33" s="111" t="s">
        <v>58</v>
      </c>
      <c r="F33" s="111" t="s">
        <v>59</v>
      </c>
      <c r="G33" s="111" t="s">
        <v>60</v>
      </c>
      <c r="H33" s="111" t="s">
        <v>6</v>
      </c>
    </row>
    <row r="34" spans="3:11" ht="12.75">
      <c r="C34" s="112" t="s">
        <v>34</v>
      </c>
      <c r="D34" s="106">
        <f>'Business case'!$C$61</f>
        <v>500</v>
      </c>
      <c r="E34">
        <f>E25*AND($I25&lt;$I15)</f>
        <v>0</v>
      </c>
      <c r="F34">
        <f>F25*AND($I25&lt;$I15)</f>
        <v>1</v>
      </c>
      <c r="G34">
        <f>G25*AND($I25&lt;$I15)</f>
        <v>0</v>
      </c>
      <c r="H34">
        <f>H25*AND($I25&lt;$I15)</f>
        <v>0</v>
      </c>
      <c r="K34" s="113">
        <f>D34*SUMPRODUCT(E34:H34,E38:H38)</f>
        <v>5000</v>
      </c>
    </row>
    <row r="35" spans="3:11" ht="12.75">
      <c r="C35" s="112" t="s">
        <v>33</v>
      </c>
      <c r="D35" s="106">
        <f>'Business case'!$C$62</f>
        <v>5000</v>
      </c>
      <c r="E35">
        <f aca="true" t="shared" si="0" ref="E35:H36">E26*AND($I26&lt;$I16)</f>
        <v>0</v>
      </c>
      <c r="F35">
        <f t="shared" si="0"/>
        <v>0</v>
      </c>
      <c r="G35">
        <f t="shared" si="0"/>
        <v>1</v>
      </c>
      <c r="H35">
        <f t="shared" si="0"/>
        <v>0</v>
      </c>
      <c r="K35" s="113">
        <f>D35*SUMPRODUCT(E35:H35,E38:H38)</f>
        <v>8750</v>
      </c>
    </row>
    <row r="36" spans="3:11" ht="12.75">
      <c r="C36" s="112" t="s">
        <v>32</v>
      </c>
      <c r="D36" s="106">
        <f>'Business case'!$C$63</f>
        <v>200000</v>
      </c>
      <c r="E36">
        <f t="shared" si="0"/>
        <v>0</v>
      </c>
      <c r="F36">
        <f t="shared" si="0"/>
        <v>0</v>
      </c>
      <c r="G36">
        <f t="shared" si="0"/>
        <v>0</v>
      </c>
      <c r="H36">
        <f t="shared" si="0"/>
        <v>0</v>
      </c>
      <c r="K36" s="113">
        <f>D36*SUMPRODUCT(E36:H36,E38:H38)</f>
        <v>0</v>
      </c>
    </row>
    <row r="38" spans="5:11" ht="12.75">
      <c r="E38">
        <f>E29</f>
        <v>400</v>
      </c>
      <c r="F38">
        <f>F29</f>
        <v>10</v>
      </c>
      <c r="G38">
        <f>G29</f>
        <v>1.75</v>
      </c>
      <c r="H38">
        <f>H29</f>
        <v>0</v>
      </c>
      <c r="J38" s="77" t="s">
        <v>87</v>
      </c>
      <c r="K38" s="113">
        <f>SUM(K34:K37)</f>
        <v>13750</v>
      </c>
    </row>
  </sheetData>
  <printOptions/>
  <pageMargins left="0.75" right="0.75" top="1" bottom="1" header="0.4921259845" footer="0.492125984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Feuil7"/>
  <dimension ref="B3:F14"/>
  <sheetViews>
    <sheetView workbookViewId="0" topLeftCell="A1">
      <selection activeCell="H17" sqref="H16:H17"/>
    </sheetView>
  </sheetViews>
  <sheetFormatPr defaultColWidth="11.421875" defaultRowHeight="12.75"/>
  <cols>
    <col min="3" max="3" width="31.57421875" style="0" bestFit="1" customWidth="1"/>
    <col min="4" max="4" width="13.28125" style="0" bestFit="1" customWidth="1"/>
    <col min="5" max="5" width="17.140625" style="0" bestFit="1" customWidth="1"/>
    <col min="6" max="6" width="11.8515625" style="0" bestFit="1" customWidth="1"/>
  </cols>
  <sheetData>
    <row r="3" ht="12.75">
      <c r="B3" s="50" t="s">
        <v>89</v>
      </c>
    </row>
    <row r="4" ht="13.5" thickBot="1"/>
    <row r="5" spans="3:6" ht="13.5" thickBot="1">
      <c r="C5" s="114" t="s">
        <v>90</v>
      </c>
      <c r="D5" s="115" t="s">
        <v>91</v>
      </c>
      <c r="E5" s="115" t="s">
        <v>92</v>
      </c>
      <c r="F5" s="116" t="s">
        <v>49</v>
      </c>
    </row>
    <row r="6" spans="3:6" ht="12.75">
      <c r="C6" s="11" t="s">
        <v>93</v>
      </c>
      <c r="D6" s="129">
        <f>ROUNDUP('Business case'!C39/200,0)</f>
        <v>2</v>
      </c>
      <c r="E6" s="126">
        <v>20000</v>
      </c>
      <c r="F6" s="127">
        <f>+E6*D6</f>
        <v>40000</v>
      </c>
    </row>
    <row r="7" spans="3:6" ht="12.75">
      <c r="C7" s="24" t="s">
        <v>94</v>
      </c>
      <c r="D7" s="130">
        <v>0</v>
      </c>
      <c r="E7" s="125">
        <v>4000</v>
      </c>
      <c r="F7" s="128">
        <f>+E7*D7</f>
        <v>0</v>
      </c>
    </row>
    <row r="8" spans="3:6" ht="12.75">
      <c r="C8" s="24" t="s">
        <v>95</v>
      </c>
      <c r="D8" s="130">
        <v>0</v>
      </c>
      <c r="E8" s="125">
        <v>4000</v>
      </c>
      <c r="F8" s="128">
        <f>+E8*D8</f>
        <v>0</v>
      </c>
    </row>
    <row r="9" spans="3:6" ht="12.75">
      <c r="C9" s="24" t="s">
        <v>96</v>
      </c>
      <c r="D9" s="130">
        <v>0</v>
      </c>
      <c r="E9" s="125">
        <v>6000</v>
      </c>
      <c r="F9" s="128">
        <f>+E9*D9</f>
        <v>0</v>
      </c>
    </row>
    <row r="10" spans="3:6" ht="12.75">
      <c r="C10" s="24" t="s">
        <v>97</v>
      </c>
      <c r="D10" s="130">
        <v>0</v>
      </c>
      <c r="E10" s="125">
        <v>4000</v>
      </c>
      <c r="F10" s="128">
        <f>+E10*D10</f>
        <v>0</v>
      </c>
    </row>
    <row r="11" spans="3:6" ht="13.5" thickBot="1">
      <c r="C11" s="117" t="s">
        <v>98</v>
      </c>
      <c r="D11" s="118"/>
      <c r="E11" s="118"/>
      <c r="F11" s="131">
        <f>SUM(F6:F10)</f>
        <v>40000</v>
      </c>
    </row>
    <row r="12" spans="3:6" ht="12.75">
      <c r="C12" s="119" t="s">
        <v>99</v>
      </c>
      <c r="D12" s="205">
        <v>0</v>
      </c>
      <c r="E12" s="205"/>
      <c r="F12" s="120">
        <f>+F11*D12</f>
        <v>0</v>
      </c>
    </row>
    <row r="13" spans="3:6" ht="13.5" thickBot="1">
      <c r="C13" s="121" t="s">
        <v>98</v>
      </c>
      <c r="D13" s="122"/>
      <c r="E13" s="122"/>
      <c r="F13" s="133">
        <f>+F11-F12</f>
        <v>40000</v>
      </c>
    </row>
    <row r="14" spans="3:6" ht="12.75">
      <c r="C14" s="123" t="s">
        <v>100</v>
      </c>
      <c r="D14" s="124">
        <v>0.2</v>
      </c>
      <c r="E14" s="123" t="s">
        <v>103</v>
      </c>
      <c r="F14" s="134">
        <f>D14*F13</f>
        <v>8000</v>
      </c>
    </row>
  </sheetData>
  <mergeCells count="1">
    <mergeCell ref="D12:E1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dc:creator>
  <cp:keywords/>
  <dc:description/>
  <cp:lastModifiedBy>c.labitzke</cp:lastModifiedBy>
  <dcterms:created xsi:type="dcterms:W3CDTF">2005-01-21T00:22:36Z</dcterms:created>
  <dcterms:modified xsi:type="dcterms:W3CDTF">2006-04-27T07:53:48Z</dcterms:modified>
  <cp:category/>
  <cp:version/>
  <cp:contentType/>
  <cp:contentStatus/>
</cp:coreProperties>
</file>