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510" yWindow="135" windowWidth="9195" windowHeight="4005" tabRatio="601" activeTab="1"/>
  </bookViews>
  <sheets>
    <sheet name="Help" sheetId="1" r:id="rId1"/>
    <sheet name="JIT" sheetId="2" r:id="rId2"/>
  </sheets>
  <definedNames/>
  <calcPr calcMode="manual" fullCalcOnLoad="1" calcCompleted="0" calcOnSave="0" iterate="1" iterateCount="1" iterateDelta="0.001"/>
</workbook>
</file>

<file path=xl/comments2.xml><?xml version="1.0" encoding="utf-8"?>
<comments xmlns="http://schemas.openxmlformats.org/spreadsheetml/2006/main">
  <authors>
    <author>Cornelio Abellanas</author>
  </authors>
  <commentList>
    <comment ref="B7" authorId="0">
      <text>
        <r>
          <rPr>
            <b/>
            <sz val="8"/>
            <rFont val="Tahoma"/>
            <family val="0"/>
          </rPr>
          <t xml:space="preserve">Type in initial sequence of kanban orders </t>
        </r>
        <r>
          <rPr>
            <b/>
            <sz val="8"/>
            <color indexed="57"/>
            <rFont val="Tahoma"/>
            <family val="2"/>
          </rPr>
          <t>a</t>
        </r>
        <r>
          <rPr>
            <b/>
            <sz val="8"/>
            <rFont val="Tahoma"/>
            <family val="0"/>
          </rPr>
          <t xml:space="preserve"> and </t>
        </r>
        <r>
          <rPr>
            <b/>
            <sz val="8"/>
            <color indexed="10"/>
            <rFont val="Tahoma"/>
            <family val="2"/>
          </rPr>
          <t>b</t>
        </r>
      </text>
    </comment>
    <comment ref="Q2" authorId="0">
      <text>
        <r>
          <rPr>
            <b/>
            <sz val="8"/>
            <rFont val="Tahoma"/>
            <family val="0"/>
          </rPr>
          <t xml:space="preserve">Number of kanbans </t>
        </r>
        <r>
          <rPr>
            <b/>
            <sz val="8"/>
            <color indexed="57"/>
            <rFont val="Tahoma"/>
            <family val="2"/>
          </rPr>
          <t>a</t>
        </r>
        <r>
          <rPr>
            <b/>
            <sz val="8"/>
            <rFont val="Tahoma"/>
            <family val="0"/>
          </rPr>
          <t xml:space="preserve"> for item </t>
        </r>
        <r>
          <rPr>
            <b/>
            <sz val="8"/>
            <color indexed="57"/>
            <rFont val="Tahoma"/>
            <family val="2"/>
          </rPr>
          <t xml:space="preserve">A
</t>
        </r>
        <r>
          <rPr>
            <b/>
            <sz val="8"/>
            <color indexed="10"/>
            <rFont val="Tahoma"/>
            <family val="2"/>
          </rPr>
          <t>from 1 to 12</t>
        </r>
      </text>
    </comment>
    <comment ref="Q16" authorId="0">
      <text>
        <r>
          <rPr>
            <b/>
            <sz val="8"/>
            <rFont val="Tahoma"/>
            <family val="0"/>
          </rPr>
          <t xml:space="preserve">Number of kanbans </t>
        </r>
        <r>
          <rPr>
            <b/>
            <sz val="8"/>
            <color indexed="10"/>
            <rFont val="Tahoma"/>
            <family val="2"/>
          </rPr>
          <t>b</t>
        </r>
        <r>
          <rPr>
            <b/>
            <sz val="8"/>
            <rFont val="Tahoma"/>
            <family val="0"/>
          </rPr>
          <t xml:space="preserve"> for item </t>
        </r>
        <r>
          <rPr>
            <b/>
            <sz val="8"/>
            <color indexed="10"/>
            <rFont val="Tahoma"/>
            <family val="2"/>
          </rPr>
          <t>B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from 1 to 12</t>
        </r>
      </text>
    </comment>
    <comment ref="Q5" authorId="0">
      <text>
        <r>
          <rPr>
            <b/>
            <sz val="8"/>
            <rFont val="Tahoma"/>
            <family val="0"/>
          </rPr>
          <t>Time to produce one item (A or B) in minutes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minimum = 4</t>
        </r>
      </text>
    </comment>
    <comment ref="Q8" authorId="0">
      <text>
        <r>
          <rPr>
            <b/>
            <sz val="8"/>
            <rFont val="Tahoma"/>
            <family val="0"/>
          </rPr>
          <t xml:space="preserve">Produce items </t>
        </r>
        <r>
          <rPr>
            <b/>
            <sz val="8"/>
            <color indexed="57"/>
            <rFont val="Tahoma"/>
            <family val="2"/>
          </rPr>
          <t>A</t>
        </r>
        <r>
          <rPr>
            <b/>
            <sz val="8"/>
            <rFont val="Tahoma"/>
            <family val="0"/>
          </rPr>
          <t xml:space="preserve"> or </t>
        </r>
        <r>
          <rPr>
            <b/>
            <sz val="8"/>
            <color indexed="10"/>
            <rFont val="Tahoma"/>
            <family val="2"/>
          </rPr>
          <t>B</t>
        </r>
        <r>
          <rPr>
            <b/>
            <sz val="8"/>
            <rFont val="Tahoma"/>
            <family val="0"/>
          </rPr>
          <t xml:space="preserve"> according to kanban orders </t>
        </r>
        <r>
          <rPr>
            <b/>
            <sz val="8"/>
            <color indexed="57"/>
            <rFont val="Tahoma"/>
            <family val="2"/>
          </rPr>
          <t>a</t>
        </r>
        <r>
          <rPr>
            <b/>
            <sz val="8"/>
            <rFont val="Tahoma"/>
            <family val="0"/>
          </rPr>
          <t xml:space="preserve"> and </t>
        </r>
        <r>
          <rPr>
            <b/>
            <sz val="8"/>
            <color indexed="10"/>
            <rFont val="Tahoma"/>
            <family val="2"/>
          </rPr>
          <t>b</t>
        </r>
        <r>
          <rPr>
            <sz val="8"/>
            <rFont val="Tahoma"/>
            <family val="0"/>
          </rPr>
          <t xml:space="preserve">
</t>
        </r>
      </text>
    </comment>
    <comment ref="R5" authorId="0">
      <text>
        <r>
          <rPr>
            <b/>
            <sz val="8"/>
            <rFont val="Tahoma"/>
            <family val="0"/>
          </rPr>
          <t>Thruput: number of items (</t>
        </r>
        <r>
          <rPr>
            <b/>
            <sz val="8"/>
            <color indexed="57"/>
            <rFont val="Tahoma"/>
            <family val="2"/>
          </rPr>
          <t>A</t>
        </r>
        <r>
          <rPr>
            <b/>
            <sz val="8"/>
            <rFont val="Tahoma"/>
            <family val="0"/>
          </rPr>
          <t xml:space="preserve"> or </t>
        </r>
        <r>
          <rPr>
            <b/>
            <sz val="8"/>
            <color indexed="10"/>
            <rFont val="Tahoma"/>
            <family val="2"/>
          </rPr>
          <t>B</t>
        </r>
        <r>
          <rPr>
            <b/>
            <sz val="8"/>
            <rFont val="Tahoma"/>
            <family val="0"/>
          </rPr>
          <t>) actually produced per hour</t>
        </r>
        <r>
          <rPr>
            <sz val="8"/>
            <rFont val="Tahoma"/>
            <family val="0"/>
          </rPr>
          <t xml:space="preserve">
</t>
        </r>
      </text>
    </comment>
    <comment ref="AE1" authorId="0">
      <text>
        <r>
          <rPr>
            <b/>
            <sz val="8"/>
            <rFont val="Tahoma"/>
            <family val="0"/>
          </rPr>
          <t>Time to consume one item A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min = 4</t>
        </r>
      </text>
    </comment>
    <comment ref="AF1" authorId="0">
      <text>
        <r>
          <rPr>
            <sz val="8"/>
            <rFont val="Tahoma"/>
            <family val="2"/>
          </rPr>
          <t>Actual A consumption rate in items per hour</t>
        </r>
        <r>
          <rPr>
            <sz val="8"/>
            <rFont val="Tahoma"/>
            <family val="0"/>
          </rPr>
          <t xml:space="preserve">
</t>
        </r>
      </text>
    </comment>
    <comment ref="AE4" authorId="0">
      <text>
        <r>
          <rPr>
            <b/>
            <sz val="8"/>
            <rFont val="Tahoma"/>
            <family val="0"/>
          </rPr>
          <t xml:space="preserve">items A
consumption </t>
        </r>
        <r>
          <rPr>
            <sz val="8"/>
            <rFont val="Tahoma"/>
            <family val="0"/>
          </rPr>
          <t xml:space="preserve">
</t>
        </r>
      </text>
    </comment>
    <comment ref="AE9" authorId="0">
      <text>
        <r>
          <rPr>
            <b/>
            <sz val="8"/>
            <rFont val="Tahoma"/>
            <family val="0"/>
          </rPr>
          <t xml:space="preserve">Time to consume one item B
</t>
        </r>
        <r>
          <rPr>
            <b/>
            <sz val="8"/>
            <color indexed="10"/>
            <rFont val="Tahoma"/>
            <family val="2"/>
          </rPr>
          <t>min = 4</t>
        </r>
      </text>
    </comment>
    <comment ref="AE12" authorId="0">
      <text>
        <r>
          <rPr>
            <b/>
            <sz val="8"/>
            <rFont val="Tahoma"/>
            <family val="0"/>
          </rPr>
          <t xml:space="preserve">items B
consumption </t>
        </r>
      </text>
    </comment>
    <comment ref="AF9" authorId="0">
      <text>
        <r>
          <rPr>
            <sz val="8"/>
            <rFont val="Tahoma"/>
            <family val="2"/>
          </rPr>
          <t xml:space="preserve">Actual B consumption rate in items per hour
</t>
        </r>
      </text>
    </comment>
    <comment ref="Z6" authorId="0">
      <text>
        <r>
          <rPr>
            <b/>
            <sz val="8"/>
            <rFont val="Tahoma"/>
            <family val="0"/>
          </rPr>
          <t>Items A Work In Process</t>
        </r>
        <r>
          <rPr>
            <sz val="8"/>
            <rFont val="Tahoma"/>
            <family val="0"/>
          </rPr>
          <t xml:space="preserve">
</t>
        </r>
      </text>
    </comment>
    <comment ref="Z12" authorId="0">
      <text>
        <r>
          <rPr>
            <b/>
            <sz val="8"/>
            <rFont val="Tahoma"/>
            <family val="0"/>
          </rPr>
          <t>Items B Work In Process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<sst xmlns="http://schemas.openxmlformats.org/spreadsheetml/2006/main" count="58" uniqueCount="35">
  <si>
    <t>Kanbans</t>
  </si>
  <si>
    <t xml:space="preserve"> </t>
  </si>
  <si>
    <r>
      <t>A</t>
    </r>
    <r>
      <rPr>
        <sz val="14"/>
        <color indexed="17"/>
        <rFont val="Arial"/>
        <family val="2"/>
      </rPr>
      <t xml:space="preserve"> </t>
    </r>
  </si>
  <si>
    <t>B</t>
  </si>
  <si>
    <t>Velocidad</t>
  </si>
  <si>
    <t>(restaurar)</t>
  </si>
  <si>
    <t>(parar)</t>
  </si>
  <si>
    <t>Inicialization</t>
  </si>
  <si>
    <t>process time (min)</t>
  </si>
  <si>
    <t>Thruput</t>
  </si>
  <si>
    <t>WIP A  =</t>
  </si>
  <si>
    <t>WIP B  =</t>
  </si>
  <si>
    <r>
      <t xml:space="preserve">STOP: Esc + </t>
    </r>
    <r>
      <rPr>
        <b/>
        <u val="single"/>
        <sz val="10"/>
        <color indexed="10"/>
        <rFont val="Arial"/>
        <family val="2"/>
      </rPr>
      <t>E</t>
    </r>
    <r>
      <rPr>
        <b/>
        <sz val="10"/>
        <color indexed="10"/>
        <rFont val="Arial"/>
        <family val="2"/>
      </rPr>
      <t>nd</t>
    </r>
  </si>
  <si>
    <t>items/ h</t>
  </si>
  <si>
    <t>consumption time (min)</t>
  </si>
  <si>
    <t>USE</t>
  </si>
  <si>
    <t>MAKE</t>
  </si>
  <si>
    <t>EXCEL Setup:</t>
  </si>
  <si>
    <r>
      <t xml:space="preserve">Tools/  Options/  Calculate/  select:  </t>
    </r>
    <r>
      <rPr>
        <b/>
        <sz val="10"/>
        <color indexed="12"/>
        <rFont val="Arial"/>
        <family val="2"/>
      </rPr>
      <t>Manual</t>
    </r>
  </si>
  <si>
    <r>
      <t xml:space="preserve">Tools/  Options/  Calculate/  Iteration: max number of iterations  </t>
    </r>
    <r>
      <rPr>
        <b/>
        <sz val="10"/>
        <color indexed="12"/>
        <rFont val="Arial"/>
        <family val="2"/>
      </rPr>
      <t>1</t>
    </r>
  </si>
  <si>
    <r>
      <t xml:space="preserve">Enable macros:  </t>
    </r>
    <r>
      <rPr>
        <b/>
        <sz val="10"/>
        <color indexed="12"/>
        <rFont val="Arial"/>
        <family val="2"/>
      </rPr>
      <t>YES</t>
    </r>
  </si>
  <si>
    <r>
      <t xml:space="preserve">Enlarge to ocupy the whole screen by selecting the right </t>
    </r>
    <r>
      <rPr>
        <b/>
        <sz val="10"/>
        <rFont val="Arial"/>
        <family val="2"/>
      </rPr>
      <t>zoom</t>
    </r>
    <r>
      <rPr>
        <sz val="10"/>
        <rFont val="Arial"/>
        <family val="0"/>
      </rPr>
      <t xml:space="preserve"> at </t>
    </r>
    <r>
      <rPr>
        <b/>
        <sz val="10"/>
        <rFont val="Arial"/>
        <family val="2"/>
      </rPr>
      <t>view</t>
    </r>
  </si>
  <si>
    <t>Additional information:</t>
  </si>
  <si>
    <t>Description:</t>
  </si>
  <si>
    <t xml:space="preserve">This simulation program is meant for educational purposes only. </t>
  </si>
  <si>
    <t>It applies both to business and manufacturing processes</t>
  </si>
  <si>
    <t>Operation:</t>
  </si>
  <si>
    <t>All figures in yellow are preset values which may be changed at any time</t>
  </si>
  <si>
    <t>Kanban Simulator    JITeng2.xls</t>
  </si>
  <si>
    <r>
      <t xml:space="preserve">It simulates a </t>
    </r>
    <r>
      <rPr>
        <b/>
        <sz val="10"/>
        <rFont val="Arial"/>
        <family val="2"/>
      </rPr>
      <t>kanban</t>
    </r>
    <r>
      <rPr>
        <sz val="10"/>
        <rFont val="Arial"/>
        <family val="0"/>
      </rPr>
      <t xml:space="preserve"> - operated logistic system with one supplier producing items for two customers </t>
    </r>
  </si>
  <si>
    <r>
      <t xml:space="preserve">The purpose is to understand the dynamics of a </t>
    </r>
    <r>
      <rPr>
        <b/>
        <sz val="10"/>
        <rFont val="Arial"/>
        <family val="2"/>
      </rPr>
      <t>pull</t>
    </r>
    <r>
      <rPr>
        <sz val="10"/>
        <rFont val="Arial"/>
        <family val="0"/>
      </rPr>
      <t xml:space="preserve"> system where the supplier is driven by customer consumption as opposed to to a </t>
    </r>
    <r>
      <rPr>
        <b/>
        <sz val="10"/>
        <rFont val="Arial"/>
        <family val="2"/>
      </rPr>
      <t>push</t>
    </r>
    <r>
      <rPr>
        <sz val="10"/>
        <rFont val="Arial"/>
        <family val="0"/>
      </rPr>
      <t xml:space="preserve"> system where the supplier is driven by a plan</t>
    </r>
  </si>
  <si>
    <r>
      <t>Reset</t>
    </r>
    <r>
      <rPr>
        <sz val="10"/>
        <rFont val="Arial"/>
        <family val="0"/>
      </rPr>
      <t xml:space="preserve"> will clear all WIP and set the number of kanbans selected</t>
    </r>
  </si>
  <si>
    <r>
      <t xml:space="preserve">Press the </t>
    </r>
    <r>
      <rPr>
        <b/>
        <sz val="10"/>
        <color indexed="12"/>
        <rFont val="Arial"/>
        <family val="2"/>
      </rPr>
      <t>Start</t>
    </r>
    <r>
      <rPr>
        <sz val="10"/>
        <rFont val="Arial"/>
        <family val="0"/>
      </rPr>
      <t xml:space="preserve"> button to start simulating and </t>
    </r>
    <r>
      <rPr>
        <b/>
        <sz val="10"/>
        <color indexed="10"/>
        <rFont val="Arial"/>
        <family val="2"/>
      </rPr>
      <t>Escape key</t>
    </r>
    <r>
      <rPr>
        <sz val="10"/>
        <rFont val="Arial"/>
        <family val="0"/>
      </rPr>
      <t xml:space="preserve"> to stop and change any values</t>
    </r>
  </si>
  <si>
    <t>KANBAN SIMULATOR   JITeng2.xls   © 2007 Cornelio Abellanas</t>
  </si>
  <si>
    <t>www.polyhedrika.com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</si>
</sst>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"/>
    <numFmt numFmtId="173" formatCode="0.000000"/>
    <numFmt numFmtId="174" formatCode="0.000"/>
    <numFmt numFmtId="175" formatCode="[$$-409]#,##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17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4"/>
      <color indexed="11"/>
      <name val="Arial"/>
      <family val="2"/>
    </font>
    <font>
      <b/>
      <sz val="14"/>
      <name val="Arial"/>
      <family val="2"/>
    </font>
    <font>
      <b/>
      <sz val="10"/>
      <color indexed="17"/>
      <name val="Arial"/>
      <family val="2"/>
    </font>
    <font>
      <b/>
      <sz val="14"/>
      <color indexed="17"/>
      <name val="Arial"/>
      <family val="2"/>
    </font>
    <font>
      <sz val="14"/>
      <color indexed="17"/>
      <name val="Arial"/>
      <family val="2"/>
    </font>
    <font>
      <b/>
      <sz val="14"/>
      <color indexed="60"/>
      <name val="Arial"/>
      <family val="2"/>
    </font>
    <font>
      <b/>
      <sz val="10"/>
      <color indexed="60"/>
      <name val="Arial"/>
      <family val="2"/>
    </font>
    <font>
      <b/>
      <sz val="14"/>
      <color indexed="56"/>
      <name val="Arial"/>
      <family val="2"/>
    </font>
    <font>
      <b/>
      <sz val="10"/>
      <color indexed="56"/>
      <name val="Arial"/>
      <family val="2"/>
    </font>
    <font>
      <b/>
      <sz val="10"/>
      <color indexed="16"/>
      <name val="Arial"/>
      <family val="2"/>
    </font>
    <font>
      <b/>
      <sz val="12"/>
      <color indexed="17"/>
      <name val="Arial"/>
      <family val="2"/>
    </font>
    <font>
      <b/>
      <sz val="12"/>
      <color indexed="56"/>
      <name val="Arial"/>
      <family val="2"/>
    </font>
    <font>
      <b/>
      <sz val="8"/>
      <color indexed="14"/>
      <name val="Arial"/>
      <family val="2"/>
    </font>
    <font>
      <sz val="8"/>
      <color indexed="8"/>
      <name val="Arial"/>
      <family val="2"/>
    </font>
    <font>
      <sz val="10"/>
      <color indexed="60"/>
      <name val="Arial"/>
      <family val="2"/>
    </font>
    <font>
      <b/>
      <sz val="14"/>
      <color indexed="16"/>
      <name val="Arial"/>
      <family val="2"/>
    </font>
    <font>
      <b/>
      <sz val="11"/>
      <color indexed="56"/>
      <name val="Arial"/>
      <family val="2"/>
    </font>
    <font>
      <b/>
      <sz val="11"/>
      <color indexed="16"/>
      <name val="Arial"/>
      <family val="2"/>
    </font>
    <font>
      <b/>
      <sz val="12"/>
      <color indexed="60"/>
      <name val="Arial"/>
      <family val="2"/>
    </font>
    <font>
      <sz val="8"/>
      <color indexed="42"/>
      <name val="Arial"/>
      <family val="2"/>
    </font>
    <font>
      <b/>
      <sz val="11"/>
      <color indexed="17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color indexed="57"/>
      <name val="Tahoma"/>
      <family val="2"/>
    </font>
    <font>
      <b/>
      <sz val="8"/>
      <color indexed="10"/>
      <name val="Tahoma"/>
      <family val="2"/>
    </font>
    <font>
      <sz val="24"/>
      <color indexed="12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b/>
      <u val="single"/>
      <sz val="12"/>
      <color indexed="12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1" fontId="22" fillId="0" borderId="0" xfId="0" applyNumberFormat="1" applyFont="1" applyFill="1" applyBorder="1" applyAlignment="1">
      <alignment/>
    </xf>
    <xf numFmtId="0" fontId="8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 horizontal="left"/>
      <protection/>
    </xf>
    <xf numFmtId="0" fontId="11" fillId="2" borderId="2" xfId="0" applyFont="1" applyFill="1" applyBorder="1" applyAlignment="1" applyProtection="1">
      <alignment horizontal="center"/>
      <protection/>
    </xf>
    <xf numFmtId="0" fontId="11" fillId="2" borderId="3" xfId="0" applyFont="1" applyFill="1" applyBorder="1" applyAlignment="1" applyProtection="1">
      <alignment horizontal="center"/>
      <protection/>
    </xf>
    <xf numFmtId="0" fontId="0" fillId="2" borderId="4" xfId="0" applyFill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28" fillId="2" borderId="5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2" borderId="4" xfId="0" applyFont="1" applyFill="1" applyBorder="1" applyAlignment="1" applyProtection="1">
      <alignment/>
      <protection/>
    </xf>
    <xf numFmtId="0" fontId="4" fillId="0" borderId="4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Fill="1" applyAlignment="1" applyProtection="1">
      <alignment/>
      <protection/>
    </xf>
    <xf numFmtId="0" fontId="12" fillId="3" borderId="6" xfId="0" applyFont="1" applyFill="1" applyBorder="1" applyAlignment="1" applyProtection="1">
      <alignment horizontal="center" vertic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1" fontId="22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9" fillId="2" borderId="1" xfId="0" applyFont="1" applyFill="1" applyBorder="1" applyAlignment="1" applyProtection="1">
      <alignment/>
      <protection/>
    </xf>
    <xf numFmtId="0" fontId="12" fillId="2" borderId="2" xfId="0" applyFont="1" applyFill="1" applyBorder="1" applyAlignment="1" applyProtection="1">
      <alignment horizontal="center"/>
      <protection/>
    </xf>
    <xf numFmtId="0" fontId="12" fillId="2" borderId="7" xfId="0" applyFont="1" applyFill="1" applyBorder="1" applyAlignment="1" applyProtection="1">
      <alignment horizontal="center"/>
      <protection/>
    </xf>
    <xf numFmtId="0" fontId="12" fillId="3" borderId="8" xfId="0" applyFont="1" applyFill="1" applyBorder="1" applyAlignment="1" applyProtection="1">
      <alignment horizontal="center" vertical="center"/>
      <protection/>
    </xf>
    <xf numFmtId="1" fontId="8" fillId="0" borderId="4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4" fillId="2" borderId="5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9" fontId="19" fillId="3" borderId="9" xfId="0" applyNumberFormat="1" applyFont="1" applyFill="1" applyBorder="1" applyAlignment="1" applyProtection="1">
      <alignment horizontal="center" vertical="center"/>
      <protection/>
    </xf>
    <xf numFmtId="1" fontId="8" fillId="0" borderId="1" xfId="0" applyNumberFormat="1" applyFont="1" applyFill="1" applyBorder="1" applyAlignment="1" applyProtection="1">
      <alignment horizontal="right" vertical="center"/>
      <protection/>
    </xf>
    <xf numFmtId="1" fontId="8" fillId="0" borderId="0" xfId="0" applyNumberFormat="1" applyFont="1" applyFill="1" applyBorder="1" applyAlignment="1" applyProtection="1">
      <alignment horizontal="right" vertical="center"/>
      <protection/>
    </xf>
    <xf numFmtId="1" fontId="4" fillId="0" borderId="0" xfId="0" applyNumberFormat="1" applyFont="1" applyFill="1" applyBorder="1" applyAlignment="1" applyProtection="1">
      <alignment horizontal="right" vertical="center"/>
      <protection/>
    </xf>
    <xf numFmtId="1" fontId="4" fillId="0" borderId="0" xfId="0" applyNumberFormat="1" applyFont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1" fontId="8" fillId="0" borderId="0" xfId="0" applyNumberFormat="1" applyFont="1" applyAlignment="1" applyProtection="1">
      <alignment horizontal="center"/>
      <protection/>
    </xf>
    <xf numFmtId="0" fontId="8" fillId="0" borderId="9" xfId="0" applyFont="1" applyBorder="1" applyAlignment="1" applyProtection="1">
      <alignment/>
      <protection/>
    </xf>
    <xf numFmtId="0" fontId="8" fillId="0" borderId="4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17" fillId="4" borderId="2" xfId="0" applyFont="1" applyFill="1" applyBorder="1" applyAlignment="1" applyProtection="1">
      <alignment horizontal="left"/>
      <protection/>
    </xf>
    <xf numFmtId="0" fontId="25" fillId="5" borderId="2" xfId="0" applyFont="1" applyFill="1" applyBorder="1" applyAlignment="1" applyProtection="1">
      <alignment/>
      <protection/>
    </xf>
    <xf numFmtId="0" fontId="16" fillId="4" borderId="8" xfId="0" applyFont="1" applyFill="1" applyBorder="1" applyAlignment="1" applyProtection="1">
      <alignment/>
      <protection/>
    </xf>
    <xf numFmtId="0" fontId="4" fillId="6" borderId="5" xfId="0" applyFont="1" applyFill="1" applyBorder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0" fillId="6" borderId="5" xfId="0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4" fillId="6" borderId="4" xfId="0" applyFont="1" applyFill="1" applyBorder="1" applyAlignment="1" applyProtection="1">
      <alignment/>
      <protection/>
    </xf>
    <xf numFmtId="0" fontId="14" fillId="7" borderId="6" xfId="0" applyFont="1" applyFill="1" applyBorder="1" applyAlignment="1" applyProtection="1">
      <alignment horizontal="center" vertical="center"/>
      <protection/>
    </xf>
    <xf numFmtId="0" fontId="0" fillId="6" borderId="4" xfId="0" applyFill="1" applyBorder="1" applyAlignment="1" applyProtection="1">
      <alignment/>
      <protection/>
    </xf>
    <xf numFmtId="0" fontId="24" fillId="6" borderId="10" xfId="0" applyFont="1" applyFill="1" applyBorder="1" applyAlignment="1" applyProtection="1">
      <alignment/>
      <protection/>
    </xf>
    <xf numFmtId="0" fontId="14" fillId="6" borderId="2" xfId="0" applyFont="1" applyFill="1" applyBorder="1" applyAlignment="1" applyProtection="1">
      <alignment horizontal="center"/>
      <protection/>
    </xf>
    <xf numFmtId="0" fontId="14" fillId="6" borderId="0" xfId="0" applyFont="1" applyFill="1" applyBorder="1" applyAlignment="1" applyProtection="1">
      <alignment horizontal="center"/>
      <protection/>
    </xf>
    <xf numFmtId="0" fontId="14" fillId="7" borderId="8" xfId="0" applyFont="1" applyFill="1" applyBorder="1" applyAlignment="1" applyProtection="1">
      <alignment horizontal="center" vertical="center"/>
      <protection/>
    </xf>
    <xf numFmtId="0" fontId="26" fillId="6" borderId="11" xfId="0" applyFont="1" applyFill="1" applyBorder="1" applyAlignment="1" applyProtection="1">
      <alignment/>
      <protection/>
    </xf>
    <xf numFmtId="0" fontId="4" fillId="6" borderId="5" xfId="0" applyFont="1" applyFill="1" applyBorder="1" applyAlignment="1" applyProtection="1">
      <alignment horizontal="center"/>
      <protection/>
    </xf>
    <xf numFmtId="9" fontId="27" fillId="7" borderId="12" xfId="0" applyNumberFormat="1" applyFont="1" applyFill="1" applyBorder="1" applyAlignment="1" applyProtection="1">
      <alignment horizontal="center" vertical="center"/>
      <protection/>
    </xf>
    <xf numFmtId="0" fontId="0" fillId="6" borderId="10" xfId="0" applyFill="1" applyBorder="1" applyAlignment="1" applyProtection="1">
      <alignment/>
      <protection/>
    </xf>
    <xf numFmtId="0" fontId="0" fillId="6" borderId="2" xfId="0" applyFill="1" applyBorder="1" applyAlignment="1" applyProtection="1">
      <alignment/>
      <protection/>
    </xf>
    <xf numFmtId="0" fontId="0" fillId="6" borderId="2" xfId="0" applyFill="1" applyBorder="1" applyAlignment="1" applyProtection="1">
      <alignment horizontal="left"/>
      <protection/>
    </xf>
    <xf numFmtId="0" fontId="23" fillId="6" borderId="2" xfId="0" applyFont="1" applyFill="1" applyBorder="1" applyAlignment="1" applyProtection="1">
      <alignment horizontal="center"/>
      <protection/>
    </xf>
    <xf numFmtId="0" fontId="15" fillId="6" borderId="2" xfId="0" applyFont="1" applyFill="1" applyBorder="1" applyAlignment="1" applyProtection="1">
      <alignment horizontal="center"/>
      <protection/>
    </xf>
    <xf numFmtId="0" fontId="15" fillId="6" borderId="12" xfId="0" applyFont="1" applyFill="1" applyBorder="1" applyAlignment="1" applyProtection="1">
      <alignment horizontal="center"/>
      <protection/>
    </xf>
    <xf numFmtId="1" fontId="0" fillId="0" borderId="0" xfId="0" applyNumberFormat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6" fillId="2" borderId="2" xfId="0" applyFont="1" applyFill="1" applyBorder="1" applyAlignment="1" applyProtection="1">
      <alignment horizontal="center"/>
      <protection/>
    </xf>
    <xf numFmtId="0" fontId="18" fillId="0" borderId="12" xfId="0" applyFont="1" applyFill="1" applyBorder="1" applyAlignment="1" applyProtection="1">
      <alignment horizontal="center"/>
      <protection/>
    </xf>
    <xf numFmtId="0" fontId="29" fillId="2" borderId="11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 horizontal="left"/>
      <protection locked="0"/>
    </xf>
    <xf numFmtId="0" fontId="31" fillId="0" borderId="0" xfId="0" applyFont="1" applyAlignment="1" applyProtection="1">
      <alignment/>
      <protection/>
    </xf>
    <xf numFmtId="0" fontId="4" fillId="3" borderId="0" xfId="0" applyFont="1" applyFill="1" applyAlignment="1" applyProtection="1">
      <alignment horizontal="center" vertical="center"/>
      <protection/>
    </xf>
    <xf numFmtId="172" fontId="0" fillId="3" borderId="0" xfId="0" applyNumberFormat="1" applyFill="1" applyAlignment="1" applyProtection="1">
      <alignment horizontal="center" vertical="center"/>
      <protection/>
    </xf>
    <xf numFmtId="0" fontId="4" fillId="7" borderId="0" xfId="0" applyFont="1" applyFill="1" applyAlignment="1" applyProtection="1">
      <alignment horizontal="center" vertical="center"/>
      <protection/>
    </xf>
    <xf numFmtId="172" fontId="0" fillId="7" borderId="0" xfId="0" applyNumberFormat="1" applyFill="1" applyAlignment="1" applyProtection="1">
      <alignment horizontal="center" vertical="center"/>
      <protection/>
    </xf>
    <xf numFmtId="0" fontId="0" fillId="8" borderId="0" xfId="0" applyFont="1" applyFill="1" applyAlignment="1" applyProtection="1">
      <alignment horizontal="center"/>
      <protection locked="0"/>
    </xf>
    <xf numFmtId="0" fontId="0" fillId="8" borderId="10" xfId="0" applyFont="1" applyFill="1" applyBorder="1" applyAlignment="1" applyProtection="1">
      <alignment horizontal="center"/>
      <protection locked="0"/>
    </xf>
    <xf numFmtId="0" fontId="4" fillId="8" borderId="0" xfId="0" applyFont="1" applyFill="1" applyAlignment="1" applyProtection="1">
      <alignment/>
      <protection locked="0"/>
    </xf>
    <xf numFmtId="0" fontId="4" fillId="8" borderId="0" xfId="0" applyFont="1" applyFill="1" applyAlignment="1" applyProtection="1">
      <alignment horizontal="left"/>
      <protection locked="0"/>
    </xf>
    <xf numFmtId="0" fontId="4" fillId="9" borderId="0" xfId="0" applyFont="1" applyFill="1" applyAlignment="1" applyProtection="1">
      <alignment horizontal="center" vertical="center"/>
      <protection/>
    </xf>
    <xf numFmtId="172" fontId="0" fillId="9" borderId="0" xfId="0" applyNumberFormat="1" applyFill="1" applyAlignment="1" applyProtection="1">
      <alignment horizontal="center" vertical="center"/>
      <protection/>
    </xf>
    <xf numFmtId="0" fontId="16" fillId="9" borderId="1" xfId="0" applyFont="1" applyFill="1" applyBorder="1" applyAlignment="1" applyProtection="1">
      <alignment horizontal="center" vertical="center"/>
      <protection/>
    </xf>
    <xf numFmtId="0" fontId="10" fillId="9" borderId="0" xfId="0" applyFont="1" applyFill="1" applyBorder="1" applyAlignment="1" applyProtection="1">
      <alignment horizontal="center" vertical="center"/>
      <protection/>
    </xf>
    <xf numFmtId="9" fontId="20" fillId="9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8" borderId="0" xfId="0" applyFont="1" applyFill="1" applyAlignment="1" applyProtection="1">
      <alignment horizontal="center" vertical="center"/>
      <protection/>
    </xf>
    <xf numFmtId="0" fontId="0" fillId="8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10" borderId="0" xfId="0" applyFill="1" applyAlignment="1" applyProtection="1">
      <alignment vertical="center"/>
      <protection/>
    </xf>
    <xf numFmtId="0" fontId="21" fillId="10" borderId="0" xfId="0" applyFont="1" applyFill="1" applyAlignment="1" applyProtection="1">
      <alignment vertical="center"/>
      <protection/>
    </xf>
    <xf numFmtId="0" fontId="5" fillId="10" borderId="0" xfId="0" applyFont="1" applyFill="1" applyAlignment="1" applyProtection="1">
      <alignment vertical="center"/>
      <protection/>
    </xf>
    <xf numFmtId="0" fontId="21" fillId="10" borderId="0" xfId="0" applyFont="1" applyFill="1" applyAlignment="1" applyProtection="1">
      <alignment horizontal="left" vertical="center"/>
      <protection/>
    </xf>
    <xf numFmtId="0" fontId="21" fillId="10" borderId="0" xfId="0" applyFont="1" applyFill="1" applyAlignment="1" applyProtection="1">
      <alignment horizontal="center" vertical="center"/>
      <protection/>
    </xf>
    <xf numFmtId="0" fontId="33" fillId="10" borderId="0" xfId="0" applyFont="1" applyFill="1" applyAlignment="1" applyProtection="1">
      <alignment vertical="center"/>
      <protection/>
    </xf>
    <xf numFmtId="0" fontId="38" fillId="0" borderId="6" xfId="0" applyFont="1" applyFill="1" applyBorder="1" applyAlignment="1">
      <alignment horizontal="center" vertical="center"/>
    </xf>
    <xf numFmtId="0" fontId="39" fillId="11" borderId="5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left" vertical="center" wrapText="1"/>
    </xf>
    <xf numFmtId="0" fontId="39" fillId="11" borderId="5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4" fillId="8" borderId="0" xfId="0" applyFont="1" applyFill="1" applyAlignment="1" applyProtection="1">
      <alignment horizontal="center" vertical="center" wrapText="1"/>
      <protection/>
    </xf>
    <xf numFmtId="0" fontId="0" fillId="8" borderId="0" xfId="0" applyFill="1" applyAlignment="1" applyProtection="1">
      <alignment horizontal="center" vertical="center" wrapText="1"/>
      <protection/>
    </xf>
    <xf numFmtId="0" fontId="30" fillId="8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18" fillId="0" borderId="7" xfId="0" applyFont="1" applyBorder="1" applyAlignment="1" applyProtection="1">
      <alignment horizontal="right"/>
      <protection/>
    </xf>
    <xf numFmtId="0" fontId="0" fillId="0" borderId="7" xfId="0" applyBorder="1" applyAlignment="1">
      <alignment/>
    </xf>
    <xf numFmtId="0" fontId="11" fillId="0" borderId="13" xfId="0" applyFont="1" applyBorder="1" applyAlignment="1" applyProtection="1">
      <alignment horizontal="right"/>
      <protection/>
    </xf>
    <xf numFmtId="0" fontId="0" fillId="0" borderId="13" xfId="0" applyBorder="1" applyAlignment="1">
      <alignment/>
    </xf>
    <xf numFmtId="0" fontId="41" fillId="0" borderId="5" xfId="15" applyFont="1" applyBorder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0</xdr:colOff>
      <xdr:row>17</xdr:row>
      <xdr:rowOff>28575</xdr:rowOff>
    </xdr:from>
    <xdr:to>
      <xdr:col>26</xdr:col>
      <xdr:colOff>123825</xdr:colOff>
      <xdr:row>18</xdr:row>
      <xdr:rowOff>152400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29025" y="3257550"/>
          <a:ext cx="4286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95250</xdr:colOff>
      <xdr:row>17</xdr:row>
      <xdr:rowOff>19050</xdr:rowOff>
    </xdr:from>
    <xdr:to>
      <xdr:col>30</xdr:col>
      <xdr:colOff>123825</xdr:colOff>
      <xdr:row>18</xdr:row>
      <xdr:rowOff>142875</xdr:rowOff>
    </xdr:to>
    <xdr:pic>
      <xdr:nvPicPr>
        <xdr:cNvPr id="2" name="CommandButton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181475" y="3248025"/>
          <a:ext cx="4857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</xdr:colOff>
      <xdr:row>9</xdr:row>
      <xdr:rowOff>66675</xdr:rowOff>
    </xdr:from>
    <xdr:to>
      <xdr:col>9</xdr:col>
      <xdr:colOff>57150</xdr:colOff>
      <xdr:row>11</xdr:row>
      <xdr:rowOff>0</xdr:rowOff>
    </xdr:to>
    <xdr:sp>
      <xdr:nvSpPr>
        <xdr:cNvPr id="3" name="AutoShape 4"/>
        <xdr:cNvSpPr>
          <a:spLocks/>
        </xdr:cNvSpPr>
      </xdr:nvSpPr>
      <xdr:spPr>
        <a:xfrm>
          <a:off x="809625" y="1809750"/>
          <a:ext cx="209550" cy="276225"/>
        </a:xfrm>
        <a:prstGeom prst="upArrow">
          <a:avLst>
            <a:gd name="adj1" fmla="val 12069"/>
            <a:gd name="adj2" fmla="val -23685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5</xdr:row>
      <xdr:rowOff>9525</xdr:rowOff>
    </xdr:from>
    <xdr:to>
      <xdr:col>9</xdr:col>
      <xdr:colOff>57150</xdr:colOff>
      <xdr:row>6</xdr:row>
      <xdr:rowOff>142875</xdr:rowOff>
    </xdr:to>
    <xdr:sp>
      <xdr:nvSpPr>
        <xdr:cNvPr id="4" name="AutoShape 5"/>
        <xdr:cNvSpPr>
          <a:spLocks/>
        </xdr:cNvSpPr>
      </xdr:nvSpPr>
      <xdr:spPr>
        <a:xfrm flipV="1">
          <a:off x="809625" y="981075"/>
          <a:ext cx="209550" cy="314325"/>
        </a:xfrm>
        <a:prstGeom prst="upArrow">
          <a:avLst>
            <a:gd name="adj1" fmla="val 12069"/>
            <a:gd name="adj2" fmla="val -23685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lyhedrika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17"/>
  <sheetViews>
    <sheetView showRowColHeaders="0" workbookViewId="0" topLeftCell="A1">
      <selection activeCell="F9" sqref="F9"/>
    </sheetView>
  </sheetViews>
  <sheetFormatPr defaultColWidth="11.421875" defaultRowHeight="12.75"/>
  <cols>
    <col min="1" max="1" width="4.140625" style="0" customWidth="1"/>
    <col min="2" max="2" width="78.28125" style="0" customWidth="1"/>
  </cols>
  <sheetData>
    <row r="1" ht="30">
      <c r="B1" s="111" t="s">
        <v>28</v>
      </c>
    </row>
    <row r="2" ht="12.75">
      <c r="B2" s="112" t="s">
        <v>17</v>
      </c>
    </row>
    <row r="3" ht="12.75">
      <c r="B3" s="113" t="s">
        <v>18</v>
      </c>
    </row>
    <row r="4" ht="12.75">
      <c r="B4" s="113" t="s">
        <v>19</v>
      </c>
    </row>
    <row r="5" ht="12.75">
      <c r="B5" s="113" t="s">
        <v>20</v>
      </c>
    </row>
    <row r="6" ht="12.75">
      <c r="B6" s="113" t="s">
        <v>21</v>
      </c>
    </row>
    <row r="7" ht="12.75">
      <c r="B7" s="112" t="s">
        <v>22</v>
      </c>
    </row>
    <row r="8" ht="15.75">
      <c r="B8" s="125" t="s">
        <v>34</v>
      </c>
    </row>
    <row r="9" ht="12.75">
      <c r="B9" s="112" t="s">
        <v>23</v>
      </c>
    </row>
    <row r="10" ht="12.75">
      <c r="B10" s="114" t="s">
        <v>24</v>
      </c>
    </row>
    <row r="11" ht="25.5">
      <c r="B11" s="114" t="s">
        <v>29</v>
      </c>
    </row>
    <row r="12" ht="12.75">
      <c r="B12" s="114" t="s">
        <v>25</v>
      </c>
    </row>
    <row r="13" ht="38.25">
      <c r="B13" s="114" t="s">
        <v>30</v>
      </c>
    </row>
    <row r="14" ht="12.75">
      <c r="B14" s="115" t="s">
        <v>26</v>
      </c>
    </row>
    <row r="15" ht="12.75">
      <c r="B15" s="114" t="s">
        <v>27</v>
      </c>
    </row>
    <row r="16" ht="12.75">
      <c r="B16" s="114" t="s">
        <v>32</v>
      </c>
    </row>
    <row r="17" ht="12.75">
      <c r="B17" s="116" t="s">
        <v>31</v>
      </c>
    </row>
  </sheetData>
  <sheetProtection sheet="1" objects="1" scenarios="1"/>
  <hyperlinks>
    <hyperlink ref="B8" r:id="rId1" display="www.polyhedrika.com"/>
  </hyperlinks>
  <printOptions/>
  <pageMargins left="0.75" right="0.75" top="1" bottom="1" header="0" footer="0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JIT"/>
  <dimension ref="A1:BA21"/>
  <sheetViews>
    <sheetView showGridLines="0" showRowColHeaders="0" tabSelected="1" zoomScale="122" zoomScaleNormal="122" workbookViewId="0" topLeftCell="A1">
      <selection activeCell="I36" sqref="I36"/>
    </sheetView>
  </sheetViews>
  <sheetFormatPr defaultColWidth="11.421875" defaultRowHeight="12.75"/>
  <cols>
    <col min="1" max="1" width="3.00390625" style="0" customWidth="1"/>
    <col min="2" max="15" width="1.421875" style="0" customWidth="1"/>
    <col min="16" max="16" width="3.140625" style="1" customWidth="1"/>
    <col min="17" max="17" width="8.8515625" style="99" customWidth="1"/>
    <col min="18" max="18" width="5.7109375" style="2" customWidth="1"/>
    <col min="19" max="30" width="2.28125" style="0" customWidth="1"/>
    <col min="31" max="31" width="9.28125" style="0" customWidth="1"/>
    <col min="32" max="32" width="5.57421875" style="0" customWidth="1"/>
    <col min="33" max="48" width="2.28125" style="0" customWidth="1"/>
    <col min="49" max="53" width="2.57421875" style="0" customWidth="1"/>
  </cols>
  <sheetData>
    <row r="1" spans="1:50" s="98" customFormat="1" ht="15" customHeight="1">
      <c r="A1" s="110" t="s">
        <v>33</v>
      </c>
      <c r="B1" s="106"/>
      <c r="C1" s="106"/>
      <c r="D1" s="106"/>
      <c r="E1" s="106"/>
      <c r="F1" s="106"/>
      <c r="G1" s="106"/>
      <c r="H1" s="106"/>
      <c r="I1" s="107"/>
      <c r="J1" s="106"/>
      <c r="K1" s="106"/>
      <c r="L1" s="106"/>
      <c r="M1" s="106"/>
      <c r="N1" s="106"/>
      <c r="O1" s="106"/>
      <c r="P1" s="108"/>
      <c r="Q1" s="109"/>
      <c r="R1" s="110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97"/>
      <c r="AD1" s="97"/>
      <c r="AE1" s="117" t="s">
        <v>14</v>
      </c>
      <c r="AF1" s="84" t="s">
        <v>9</v>
      </c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</row>
    <row r="2" spans="1:50" ht="12.75" customHeight="1">
      <c r="A2" s="4"/>
      <c r="B2" s="9" t="s">
        <v>5</v>
      </c>
      <c r="C2" s="8"/>
      <c r="D2" s="10"/>
      <c r="E2" s="8"/>
      <c r="F2" s="8"/>
      <c r="G2" s="8"/>
      <c r="H2" s="7"/>
      <c r="I2" s="11"/>
      <c r="J2" s="12"/>
      <c r="K2" s="12"/>
      <c r="L2" s="12"/>
      <c r="M2" s="12"/>
      <c r="N2" s="12"/>
      <c r="O2" s="12"/>
      <c r="P2" s="13"/>
      <c r="Q2" s="100" t="s">
        <v>0</v>
      </c>
      <c r="R2" s="79"/>
      <c r="S2" s="14" t="str">
        <f>IF($AD3&gt;11,"a"," ")</f>
        <v> </v>
      </c>
      <c r="T2" s="14" t="str">
        <f>IF($AD3&gt;10,"a"," ")</f>
        <v> </v>
      </c>
      <c r="U2" s="14" t="str">
        <f>IF($AD3&gt;9,"a"," ")</f>
        <v>a</v>
      </c>
      <c r="V2" s="14" t="str">
        <f>IF($AD3&gt;8,"a"," ")</f>
        <v>a</v>
      </c>
      <c r="W2" s="14" t="str">
        <f>IF($AD3&gt;7,"a"," ")</f>
        <v>a</v>
      </c>
      <c r="X2" s="14" t="str">
        <f>IF($AD3&gt;6,"a"," ")</f>
        <v>a</v>
      </c>
      <c r="Y2" s="14" t="str">
        <f>IF($AD3&gt;5,"a"," ")</f>
        <v>a</v>
      </c>
      <c r="Z2" s="14" t="str">
        <f>IF($AD3&gt;4,"a"," ")</f>
        <v>a</v>
      </c>
      <c r="AA2" s="14" t="str">
        <f>IF($AD3&gt;3,"a"," ")</f>
        <v>a</v>
      </c>
      <c r="AB2" s="14" t="str">
        <f>IF($AD3&gt;2,"a"," ")</f>
        <v>a</v>
      </c>
      <c r="AC2" s="14" t="str">
        <f>IF($AD3&gt;1,"a"," ")</f>
        <v>a</v>
      </c>
      <c r="AD2" s="15" t="str">
        <f>IF($AD3&gt;0,"a"," ")</f>
        <v>a</v>
      </c>
      <c r="AE2" s="118"/>
      <c r="AF2" s="84" t="s">
        <v>13</v>
      </c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spans="1:50" ht="12.75">
      <c r="A3" s="82">
        <v>10</v>
      </c>
      <c r="B3" s="21" t="s">
        <v>4</v>
      </c>
      <c r="C3" s="10"/>
      <c r="D3" s="10"/>
      <c r="E3" s="10"/>
      <c r="F3" s="10"/>
      <c r="G3" s="7"/>
      <c r="H3" s="7"/>
      <c r="I3" s="16"/>
      <c r="J3" s="17"/>
      <c r="K3" s="7"/>
      <c r="L3" s="7"/>
      <c r="M3" s="7"/>
      <c r="N3" s="7"/>
      <c r="O3" s="7"/>
      <c r="P3" s="18"/>
      <c r="Q3" s="101">
        <v>10</v>
      </c>
      <c r="R3" s="19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20">
        <f>Q3-P7-AD6</f>
        <v>10</v>
      </c>
      <c r="AE3" s="89">
        <v>5</v>
      </c>
      <c r="AF3" s="85">
        <f>(60*AE6)/AE3</f>
        <v>0</v>
      </c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</row>
    <row r="4" spans="1:53" s="3" customFormat="1" ht="18">
      <c r="A4" s="6">
        <v>1</v>
      </c>
      <c r="B4" s="9" t="s">
        <v>6</v>
      </c>
      <c r="C4" s="9"/>
      <c r="D4" s="21"/>
      <c r="E4" s="9"/>
      <c r="F4" s="9"/>
      <c r="G4" s="22"/>
      <c r="H4" s="22"/>
      <c r="I4" s="23"/>
      <c r="J4" s="24"/>
      <c r="K4" s="22"/>
      <c r="L4" s="22"/>
      <c r="M4" s="22"/>
      <c r="N4" s="22"/>
      <c r="O4" s="22"/>
      <c r="P4" s="25"/>
      <c r="Q4" s="102"/>
      <c r="R4" s="26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3"/>
      <c r="AE4" s="27" t="s">
        <v>15</v>
      </c>
      <c r="AF4" s="9">
        <f>COUNTIF(AG4:AP4,1)</f>
        <v>0</v>
      </c>
      <c r="AG4" s="28">
        <f aca="true" t="shared" si="0" ref="AG4:AP4">IF($A$2="",IF($AE$7=($AE$3-2),AG5,AG4),0)</f>
        <v>0</v>
      </c>
      <c r="AH4" s="28">
        <f t="shared" si="0"/>
        <v>0</v>
      </c>
      <c r="AI4" s="28">
        <f t="shared" si="0"/>
        <v>0</v>
      </c>
      <c r="AJ4" s="28">
        <f t="shared" si="0"/>
        <v>0</v>
      </c>
      <c r="AK4" s="28">
        <f t="shared" si="0"/>
        <v>0</v>
      </c>
      <c r="AL4" s="28">
        <f t="shared" si="0"/>
        <v>0</v>
      </c>
      <c r="AM4" s="28">
        <f t="shared" si="0"/>
        <v>0</v>
      </c>
      <c r="AN4" s="28">
        <f t="shared" si="0"/>
        <v>0</v>
      </c>
      <c r="AO4" s="28">
        <f t="shared" si="0"/>
        <v>0</v>
      </c>
      <c r="AP4" s="28">
        <f t="shared" si="0"/>
        <v>0</v>
      </c>
      <c r="AQ4" s="28"/>
      <c r="AR4" s="29"/>
      <c r="AS4" s="29"/>
      <c r="AT4" s="29"/>
      <c r="AU4" s="29"/>
      <c r="AV4" s="29"/>
      <c r="AW4" s="29"/>
      <c r="AX4" s="29"/>
      <c r="AY4" s="5"/>
      <c r="AZ4" s="5"/>
      <c r="BA4" s="5"/>
    </row>
    <row r="5" spans="1:53" ht="18">
      <c r="A5" s="7"/>
      <c r="B5" s="7"/>
      <c r="C5" s="7"/>
      <c r="D5" s="7"/>
      <c r="E5" s="7"/>
      <c r="F5" s="7"/>
      <c r="G5" s="7"/>
      <c r="H5" s="7"/>
      <c r="I5" s="16"/>
      <c r="J5" s="17"/>
      <c r="K5" s="7"/>
      <c r="L5" s="7"/>
      <c r="M5" s="7"/>
      <c r="N5" s="7"/>
      <c r="O5" s="7"/>
      <c r="P5" s="30"/>
      <c r="Q5" s="117" t="s">
        <v>8</v>
      </c>
      <c r="R5" s="92" t="s">
        <v>9</v>
      </c>
      <c r="S5" s="31">
        <f>IF($AD6&gt;11,"A","")</f>
      </c>
      <c r="T5" s="32">
        <f>IF($AD6&gt;10,"A","")</f>
      </c>
      <c r="U5" s="32">
        <f>IF($AD6&gt;9,"A","")</f>
      </c>
      <c r="V5" s="32">
        <f>IF($AD6&gt;8,"A","")</f>
      </c>
      <c r="W5" s="32">
        <f>IF($AD6&gt;7,"A","")</f>
      </c>
      <c r="X5" s="32">
        <f>IF($AD6&gt;6,"A","")</f>
      </c>
      <c r="Y5" s="32">
        <f>IF($AD6&gt;5,"A","")</f>
      </c>
      <c r="Z5" s="32">
        <f>IF($AD6&gt;4,"A","")</f>
      </c>
      <c r="AA5" s="32">
        <f>IF($AD6&gt;3,"A","")</f>
      </c>
      <c r="AB5" s="32">
        <f>IF($AD6&gt;2,"A","")</f>
      </c>
      <c r="AC5" s="32">
        <f>IF($AD6&gt;1,"A","")</f>
      </c>
      <c r="AD5" s="33">
        <f>IF($AD6&gt;0,"A","")</f>
      </c>
      <c r="AE5" s="34" t="s">
        <v>2</v>
      </c>
      <c r="AF5" s="81">
        <f>IF($A$2="",IF(AND($AD$6&gt;0,$AE$7=($AE$3-3)),AF5+1,AF5),0)</f>
        <v>0</v>
      </c>
      <c r="AG5" s="35">
        <f>IF($A$2="",IF(AND($AD$6&gt;0,$AE$7=($AE$3-3)),1,0),0)</f>
        <v>0</v>
      </c>
      <c r="AH5" s="28">
        <f aca="true" t="shared" si="1" ref="AH5:AP5">IF($A$2="",IF($AE$7=($AE$3-3),AG4,AH5),0)</f>
        <v>0</v>
      </c>
      <c r="AI5" s="28">
        <f t="shared" si="1"/>
        <v>0</v>
      </c>
      <c r="AJ5" s="28">
        <f t="shared" si="1"/>
        <v>0</v>
      </c>
      <c r="AK5" s="28">
        <f t="shared" si="1"/>
        <v>0</v>
      </c>
      <c r="AL5" s="28">
        <f t="shared" si="1"/>
        <v>0</v>
      </c>
      <c r="AM5" s="28">
        <f t="shared" si="1"/>
        <v>0</v>
      </c>
      <c r="AN5" s="28">
        <f t="shared" si="1"/>
        <v>0</v>
      </c>
      <c r="AO5" s="28">
        <f t="shared" si="1"/>
        <v>0</v>
      </c>
      <c r="AP5" s="28">
        <f t="shared" si="1"/>
        <v>0</v>
      </c>
      <c r="AQ5" s="28"/>
      <c r="AR5" s="29"/>
      <c r="AS5" s="29"/>
      <c r="AT5" s="29"/>
      <c r="AU5" s="29"/>
      <c r="AV5" s="29"/>
      <c r="AW5" s="29"/>
      <c r="AX5" s="29"/>
      <c r="AY5" s="5"/>
      <c r="AZ5" s="5"/>
      <c r="BA5" s="5"/>
    </row>
    <row r="6" spans="1:50" s="3" customFormat="1" ht="14.25" customHeight="1">
      <c r="A6" s="22"/>
      <c r="B6" s="22"/>
      <c r="C6" s="22"/>
      <c r="D6" s="22"/>
      <c r="E6" s="22"/>
      <c r="F6" s="22"/>
      <c r="G6" s="22"/>
      <c r="H6" s="22"/>
      <c r="I6" s="36"/>
      <c r="J6" s="36"/>
      <c r="K6" s="22"/>
      <c r="L6" s="22"/>
      <c r="M6" s="22"/>
      <c r="N6" s="22"/>
      <c r="O6" s="22"/>
      <c r="P6" s="37">
        <f>COUNTIF(A$9:P$9,"a")+COUNTIF(A$9:P$9,"b")</f>
        <v>0</v>
      </c>
      <c r="Q6" s="118"/>
      <c r="R6" s="92" t="s">
        <v>13</v>
      </c>
      <c r="S6" s="38"/>
      <c r="T6" s="22"/>
      <c r="U6" s="22"/>
      <c r="V6" s="22"/>
      <c r="W6" s="22"/>
      <c r="X6" s="22"/>
      <c r="Y6" s="22"/>
      <c r="Z6" s="123" t="s">
        <v>10</v>
      </c>
      <c r="AA6" s="124"/>
      <c r="AB6" s="124"/>
      <c r="AC6" s="124"/>
      <c r="AD6" s="40">
        <f>AD7-AF5</f>
        <v>0</v>
      </c>
      <c r="AE6" s="41">
        <f>IF(AF4&gt;0,AF4/(AF4+AF6),0)</f>
        <v>0</v>
      </c>
      <c r="AF6" s="42">
        <f>COUNTIF(AG4:AP4,0)</f>
        <v>10</v>
      </c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29"/>
      <c r="AS6" s="44"/>
      <c r="AT6" s="44"/>
      <c r="AU6" s="44"/>
      <c r="AV6" s="44"/>
      <c r="AW6" s="45"/>
      <c r="AX6" s="22"/>
    </row>
    <row r="7" spans="1:50" ht="14.25" customHeight="1">
      <c r="A7" s="19"/>
      <c r="B7" s="119" t="s">
        <v>7</v>
      </c>
      <c r="C7" s="120"/>
      <c r="D7" s="120"/>
      <c r="E7" s="120"/>
      <c r="F7" s="120"/>
      <c r="G7" s="120"/>
      <c r="H7" s="120"/>
      <c r="I7" s="7"/>
      <c r="J7" s="19"/>
      <c r="K7" s="7"/>
      <c r="L7" s="7"/>
      <c r="M7" s="7"/>
      <c r="N7" s="7"/>
      <c r="O7" s="7"/>
      <c r="P7" s="37">
        <f>COUNTIF(A$9:P$9,"a")</f>
        <v>0</v>
      </c>
      <c r="Q7" s="101">
        <v>5</v>
      </c>
      <c r="R7" s="93">
        <f>(60*Q10)/Q7</f>
        <v>0</v>
      </c>
      <c r="S7" s="46"/>
      <c r="T7" s="7"/>
      <c r="U7" s="7"/>
      <c r="V7" s="7"/>
      <c r="W7" s="7"/>
      <c r="X7" s="7"/>
      <c r="Y7" s="7"/>
      <c r="Z7" s="7"/>
      <c r="AA7" s="7"/>
      <c r="AB7" s="7"/>
      <c r="AC7" s="7"/>
      <c r="AD7" s="47">
        <f>IF($A$2="",IF(AND($S$9="A",$Q$11=$Q$7-1),AD7+1,AD7),0)</f>
        <v>0</v>
      </c>
      <c r="AE7" s="48">
        <f>(A2="")*MOD(AE7+1,AE3)</f>
        <v>0</v>
      </c>
      <c r="AF7" s="7"/>
      <c r="AG7" s="8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4"/>
      <c r="AS7" s="44"/>
      <c r="AT7" s="44"/>
      <c r="AU7" s="44"/>
      <c r="AV7" s="44"/>
      <c r="AW7" s="22"/>
      <c r="AX7" s="7"/>
    </row>
    <row r="8" spans="1:50" s="3" customFormat="1" ht="15" customHeight="1">
      <c r="A8" s="77" t="s">
        <v>1</v>
      </c>
      <c r="B8" s="90" t="s">
        <v>1</v>
      </c>
      <c r="C8" s="90" t="s">
        <v>1</v>
      </c>
      <c r="D8" s="90" t="s">
        <v>1</v>
      </c>
      <c r="E8" s="90" t="s">
        <v>1</v>
      </c>
      <c r="F8" s="90" t="s">
        <v>1</v>
      </c>
      <c r="G8" s="90" t="s">
        <v>1</v>
      </c>
      <c r="H8" s="90" t="s">
        <v>1</v>
      </c>
      <c r="I8" s="90" t="s">
        <v>1</v>
      </c>
      <c r="J8" s="90" t="s">
        <v>1</v>
      </c>
      <c r="K8" s="90" t="s">
        <v>1</v>
      </c>
      <c r="L8" s="90" t="s">
        <v>1</v>
      </c>
      <c r="M8" s="90" t="s">
        <v>1</v>
      </c>
      <c r="N8" s="90" t="s">
        <v>1</v>
      </c>
      <c r="O8" s="90" t="s">
        <v>1</v>
      </c>
      <c r="P8" s="91" t="s">
        <v>1</v>
      </c>
      <c r="Q8" s="94" t="s">
        <v>16</v>
      </c>
      <c r="R8" s="49">
        <f>COUNTIF(T8:AC8,1)</f>
        <v>0</v>
      </c>
      <c r="S8" s="38"/>
      <c r="T8" s="50">
        <f>IF($A$2="",IF($Q$11=($Q$7-2),T9,T8),0)</f>
        <v>0</v>
      </c>
      <c r="U8" s="51">
        <f aca="true" t="shared" si="2" ref="U8:AC8">IF($A$2="",IF($Q$11=($Q$7-2),U9,U8),0)</f>
        <v>0</v>
      </c>
      <c r="V8" s="51">
        <f t="shared" si="2"/>
        <v>0</v>
      </c>
      <c r="W8" s="51">
        <f t="shared" si="2"/>
        <v>0</v>
      </c>
      <c r="X8" s="51">
        <f t="shared" si="2"/>
        <v>0</v>
      </c>
      <c r="Y8" s="51">
        <f t="shared" si="2"/>
        <v>0</v>
      </c>
      <c r="Z8" s="51">
        <f t="shared" si="2"/>
        <v>0</v>
      </c>
      <c r="AA8" s="51">
        <f t="shared" si="2"/>
        <v>0</v>
      </c>
      <c r="AB8" s="51">
        <f t="shared" si="2"/>
        <v>0</v>
      </c>
      <c r="AC8" s="51">
        <f t="shared" si="2"/>
        <v>0</v>
      </c>
      <c r="AD8" s="22"/>
      <c r="AE8" s="22"/>
      <c r="AF8" s="22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22"/>
      <c r="AS8" s="22"/>
      <c r="AT8" s="22"/>
      <c r="AU8" s="22"/>
      <c r="AV8" s="22"/>
      <c r="AW8" s="22"/>
      <c r="AX8" s="22"/>
    </row>
    <row r="9" spans="1:50" ht="17.25" customHeight="1">
      <c r="A9" s="78" t="s">
        <v>1</v>
      </c>
      <c r="B9" s="52" t="str">
        <f>IF($A$2&gt;"",B8,IF($Q$11=($Q$7-2),B10,IF(AND($Q$11=($Q$7-3),$AD$3&gt;0,$P$6=14),"a",IF(AND($Q$11=($Q$7-4),$AD$17&gt;0,$P$6=14),"b",B9))))</f>
        <v> </v>
      </c>
      <c r="C9" s="52" t="str">
        <f>IF($A$2&gt;"",C8,IF($Q$11=($Q$7-2),C10,IF(AND($Q$11=($Q$7-3),$AD$3&gt;0,$P$6=13),"a",IF(AND($Q$11=($Q$7-4),$AD$17&gt;0,$P$6=13),"b",C9))))</f>
        <v> </v>
      </c>
      <c r="D9" s="52" t="str">
        <f>IF($A$2&gt;"",D8,IF($Q$11=($Q$7-2),D10,IF(AND($Q$11=($Q$7-3),$AD$3&gt;0,$P$6=12),"a",IF(AND($Q$11=($Q$7-4),$AD$17&gt;0,$P$6=12),"b",D9))))</f>
        <v> </v>
      </c>
      <c r="E9" s="52" t="str">
        <f>IF($A$2&gt;"",E8,IF($Q$11=($Q$7-2),E10,IF(AND($Q$11=($Q$7-3),$AD$3&gt;0,$P$6=11),"a",IF(AND($Q$11=($Q$7-4),$AD$17&gt;0,$P$6=11),"b",E9))))</f>
        <v> </v>
      </c>
      <c r="F9" s="52" t="str">
        <f>IF($A$2&gt;"",F8,IF($Q$11=($Q$7-2),F10,IF(AND($Q$11=($Q$7-3),$AD$3&gt;0,$P$6=10),"a",IF(AND($Q$11=($Q$7-4),$AD$17&gt;0,$P$6=10),"b",F9))))</f>
        <v> </v>
      </c>
      <c r="G9" s="52" t="str">
        <f>IF($A$2&gt;"",G8,IF($Q$11=($Q$7-2),G10,IF(AND($Q$11=($Q$7-3),$AD$3&gt;0,$P$6=9),"a",IF(AND($Q$11=($Q$7-4),$AD$17&gt;0,$P$6=9),"b",G9))))</f>
        <v> </v>
      </c>
      <c r="H9" s="52" t="str">
        <f>IF($A$2&gt;"",H8,IF($Q$11=($Q$7-2),H10,IF(AND($Q$11=($Q$7-3),$AD$3&gt;0,$P$6=8),"a",IF(AND($Q$11=($Q$7-4),$AD$17&gt;0,$P$6=8),"b",H9))))</f>
        <v> </v>
      </c>
      <c r="I9" s="52" t="str">
        <f>IF($A$2&gt;"",I8,IF($Q$11=($Q$7-2),I10,IF(AND($Q$11=($Q$7-3),$AD$3&gt;0,$P$6=7),"a",IF(AND($Q$11=($Q$7-4),$AD$17&gt;0,$P$6=7),"b",I9))))</f>
        <v> </v>
      </c>
      <c r="J9" s="52" t="str">
        <f>IF($A$2&gt;"",J8,IF($Q$11=($Q$7-2),J10,IF(AND($Q$11=($Q$7-3),$AD$3&gt;0,$P$6=6),"a",IF(AND($Q$11=($Q$7-4),$AD$17&gt;0,$P$6=6),"b",J9))))</f>
        <v> </v>
      </c>
      <c r="K9" s="52" t="str">
        <f>IF($A$2&gt;"",K8,IF($Q$11=($Q$7-2),K10,IF(AND($Q$11=($Q$7-3),$AD$3&gt;0,$P$6=5),"a",IF(AND($Q$11=($Q$7-4),$AD$17&gt;0,$P$6=5),"b",K9))))</f>
        <v> </v>
      </c>
      <c r="L9" s="52" t="str">
        <f>IF($A$2&gt;"",L8,IF($Q$11=($Q$7-2),L10,IF(AND($Q$11=($Q$7-3),$AD$3&gt;0,$P$6=4),"a",IF(AND($Q$11=($Q$7-4),$AD$17&gt;0,$P$6=4),"b",L9))))</f>
        <v> </v>
      </c>
      <c r="M9" s="52" t="str">
        <f>IF($A$2&gt;"",M8,IF($Q$11=($Q$7-2),M10,IF(AND($Q$11=($Q$7-3),$AD$3&gt;0,$P$6=3),"a",IF(AND($Q$11=($Q$7-4),$AD$17&gt;0,$P$6=3),"b",M9))))</f>
        <v> </v>
      </c>
      <c r="N9" s="52" t="str">
        <f>IF($A$2&gt;"",N8,IF($Q$11=($Q$7-2),N10,IF(AND($Q$11=($Q$7-3),$AD$3&gt;0,$P$6=2),"a",IF(AND($Q$11=($Q$7-4),$AD$17&gt;0,$P$6=2),"b",N9))))</f>
        <v> </v>
      </c>
      <c r="O9" s="52" t="str">
        <f>IF($A$2&gt;"",O8,IF($Q$11=($Q$7-2),O10,IF(AND($Q$11=($Q$7-3),$AD$3&gt;0,$P$6=1),"a",IF(AND($Q$11=($Q$7-4),$AD$17&gt;0,$P$6=1),"b",O9))))</f>
        <v> </v>
      </c>
      <c r="P9" s="52" t="str">
        <f>IF($A$2&gt;"",P8,IF($Q$11=($Q$7-2),P10,IF(AND($Q$11=($Q$7-3),$AD$3&gt;0,$P$6=0),"a",IF(AND($Q$11=($Q$7-4),$AD$17&gt;0,$P$6=0),"b",P9))))</f>
        <v> </v>
      </c>
      <c r="Q9" s="95"/>
      <c r="R9" s="53">
        <f>IF(A2="",IF(AND(OR($P$9="a",$P$9="b"),Q11=(Q7-3)),R9+1,R9),0)</f>
        <v>0</v>
      </c>
      <c r="S9" s="54" t="str">
        <f>IF(A2="",IF(Q11=(Q7-3),IF(P9="a","A",IF(P9="b","B"," ")),S9)," ")</f>
        <v> </v>
      </c>
      <c r="T9" s="50">
        <f>IF($A$2="",IF(AND(OR($P$9="a",$P$9="b"),$Q$11=($Q$7-3)),1,0),0)</f>
        <v>0</v>
      </c>
      <c r="U9" s="51">
        <f>IF($A$2="",IF($Q$11=($Q$7-3),T8,U9),0)</f>
        <v>0</v>
      </c>
      <c r="V9" s="51">
        <f aca="true" t="shared" si="3" ref="V9:AC9">IF($A$2="",IF($Q$11=($Q$7-3),U8,V9),0)</f>
        <v>0</v>
      </c>
      <c r="W9" s="51">
        <f t="shared" si="3"/>
        <v>0</v>
      </c>
      <c r="X9" s="51">
        <f t="shared" si="3"/>
        <v>0</v>
      </c>
      <c r="Y9" s="51">
        <f t="shared" si="3"/>
        <v>0</v>
      </c>
      <c r="Z9" s="51">
        <f t="shared" si="3"/>
        <v>0</v>
      </c>
      <c r="AA9" s="51">
        <f t="shared" si="3"/>
        <v>0</v>
      </c>
      <c r="AB9" s="51">
        <f t="shared" si="3"/>
        <v>0</v>
      </c>
      <c r="AC9" s="51">
        <f t="shared" si="3"/>
        <v>0</v>
      </c>
      <c r="AD9" s="7"/>
      <c r="AE9" s="117" t="s">
        <v>14</v>
      </c>
      <c r="AF9" s="86" t="s">
        <v>9</v>
      </c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7"/>
      <c r="AS9" s="7"/>
      <c r="AT9" s="7"/>
      <c r="AU9" s="7"/>
      <c r="AV9" s="7"/>
      <c r="AW9" s="7"/>
      <c r="AX9" s="7"/>
    </row>
    <row r="10" spans="1:50" s="3" customFormat="1" ht="14.25" customHeight="1">
      <c r="A10" s="9"/>
      <c r="B10" s="9" t="str">
        <f aca="true" t="shared" si="4" ref="B10:O10">IF($Q$11=($Q$7-3),A9,B10)</f>
        <v> </v>
      </c>
      <c r="C10" s="9" t="str">
        <f t="shared" si="4"/>
        <v> </v>
      </c>
      <c r="D10" s="9" t="str">
        <f t="shared" si="4"/>
        <v> </v>
      </c>
      <c r="E10" s="9" t="str">
        <f t="shared" si="4"/>
        <v>a</v>
      </c>
      <c r="F10" s="9" t="str">
        <f t="shared" si="4"/>
        <v>b</v>
      </c>
      <c r="G10" s="9" t="str">
        <f t="shared" si="4"/>
        <v>a</v>
      </c>
      <c r="H10" s="9" t="str">
        <f t="shared" si="4"/>
        <v>a</v>
      </c>
      <c r="I10" s="9" t="str">
        <f t="shared" si="4"/>
        <v>a</v>
      </c>
      <c r="J10" s="9" t="str">
        <f t="shared" si="4"/>
        <v>b</v>
      </c>
      <c r="K10" s="9" t="str">
        <f t="shared" si="4"/>
        <v>a</v>
      </c>
      <c r="L10" s="9" t="str">
        <f t="shared" si="4"/>
        <v>a</v>
      </c>
      <c r="M10" s="9" t="str">
        <f t="shared" si="4"/>
        <v>a</v>
      </c>
      <c r="N10" s="9" t="str">
        <f t="shared" si="4"/>
        <v>b</v>
      </c>
      <c r="O10" s="9" t="str">
        <f t="shared" si="4"/>
        <v>a</v>
      </c>
      <c r="P10" s="37" t="str">
        <f>IF($Q$11=($Q$7-3),O9,P10)</f>
        <v>a</v>
      </c>
      <c r="Q10" s="96">
        <f>IF(R8&gt;0,R8/(R8+R10),0)</f>
        <v>0</v>
      </c>
      <c r="R10" s="42">
        <f>COUNTIF(T8:AC8,0)</f>
        <v>10</v>
      </c>
      <c r="S10" s="55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118"/>
      <c r="AF10" s="86" t="s">
        <v>13</v>
      </c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22"/>
      <c r="AS10" s="22"/>
      <c r="AT10" s="22"/>
      <c r="AU10" s="22"/>
      <c r="AV10" s="22"/>
      <c r="AW10" s="22"/>
      <c r="AX10" s="22"/>
    </row>
    <row r="11" spans="1:50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37">
        <f>COUNTIF(A$9:P$9,"b")</f>
        <v>0</v>
      </c>
      <c r="Q11" s="103">
        <f>(A2="")*MOD(Q11+1,Q7)</f>
        <v>0</v>
      </c>
      <c r="R11" s="57"/>
      <c r="S11" s="58"/>
      <c r="T11" s="7"/>
      <c r="U11" s="7"/>
      <c r="V11" s="7"/>
      <c r="W11" s="7"/>
      <c r="X11" s="7"/>
      <c r="Y11" s="7"/>
      <c r="Z11" s="7"/>
      <c r="AA11" s="7"/>
      <c r="AB11" s="7"/>
      <c r="AC11" s="7"/>
      <c r="AD11" s="59">
        <f>IF($A$2="",IF(AND($S$9="B",$Q$11=$Q$7-1),AD11+1,AD11),0)</f>
        <v>0</v>
      </c>
      <c r="AE11" s="88">
        <v>20</v>
      </c>
      <c r="AF11" s="87">
        <f>(60*AE14)/AE11</f>
        <v>0</v>
      </c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7"/>
      <c r="AS11" s="7"/>
      <c r="AT11" s="7"/>
      <c r="AU11" s="7"/>
      <c r="AV11" s="7"/>
      <c r="AW11" s="7"/>
      <c r="AX11" s="7"/>
    </row>
    <row r="12" spans="1:53" s="3" customFormat="1" ht="18">
      <c r="A12" s="22"/>
      <c r="B12" s="22"/>
      <c r="C12" s="22"/>
      <c r="D12" s="22"/>
      <c r="E12" s="22"/>
      <c r="F12" s="22"/>
      <c r="G12" s="22"/>
      <c r="H12" s="22"/>
      <c r="I12" s="60"/>
      <c r="J12" s="24"/>
      <c r="K12" s="22"/>
      <c r="L12" s="22"/>
      <c r="M12" s="22"/>
      <c r="N12" s="22"/>
      <c r="O12" s="22"/>
      <c r="P12" s="25"/>
      <c r="Q12" s="102"/>
      <c r="R12" s="26"/>
      <c r="S12" s="55"/>
      <c r="T12" s="22"/>
      <c r="U12" s="22"/>
      <c r="V12" s="22"/>
      <c r="W12" s="22"/>
      <c r="X12" s="22"/>
      <c r="Y12" s="22"/>
      <c r="Z12" s="121" t="s">
        <v>11</v>
      </c>
      <c r="AA12" s="122"/>
      <c r="AB12" s="122"/>
      <c r="AC12" s="122"/>
      <c r="AD12" s="80">
        <f>AD11-AF13</f>
        <v>0</v>
      </c>
      <c r="AE12" s="61" t="s">
        <v>15</v>
      </c>
      <c r="AF12" s="9">
        <f>COUNTIF(AG12:AP12,1)</f>
        <v>0</v>
      </c>
      <c r="AG12" s="28">
        <f aca="true" t="shared" si="5" ref="AG12:AP12">IF($A$2="",IF($AE$15=($AE$11-2),AG13,AG12),0)</f>
        <v>0</v>
      </c>
      <c r="AH12" s="28">
        <f t="shared" si="5"/>
        <v>0</v>
      </c>
      <c r="AI12" s="28">
        <f t="shared" si="5"/>
        <v>0</v>
      </c>
      <c r="AJ12" s="28">
        <f t="shared" si="5"/>
        <v>0</v>
      </c>
      <c r="AK12" s="28">
        <f t="shared" si="5"/>
        <v>0</v>
      </c>
      <c r="AL12" s="28">
        <f t="shared" si="5"/>
        <v>0</v>
      </c>
      <c r="AM12" s="28">
        <f t="shared" si="5"/>
        <v>0</v>
      </c>
      <c r="AN12" s="28">
        <f t="shared" si="5"/>
        <v>0</v>
      </c>
      <c r="AO12" s="28">
        <f t="shared" si="5"/>
        <v>0</v>
      </c>
      <c r="AP12" s="28">
        <f t="shared" si="5"/>
        <v>0</v>
      </c>
      <c r="AQ12" s="28"/>
      <c r="AR12" s="29"/>
      <c r="AS12" s="29"/>
      <c r="AT12" s="29"/>
      <c r="AU12" s="29"/>
      <c r="AV12" s="29"/>
      <c r="AW12" s="29"/>
      <c r="AX12" s="29"/>
      <c r="AY12" s="5"/>
      <c r="AZ12" s="5"/>
      <c r="BA12" s="5"/>
    </row>
    <row r="13" spans="1:53" ht="18">
      <c r="A13" s="39"/>
      <c r="B13" s="39"/>
      <c r="C13" s="39"/>
      <c r="D13" s="39"/>
      <c r="E13" s="39"/>
      <c r="F13" s="39"/>
      <c r="G13" s="39"/>
      <c r="H13" s="7"/>
      <c r="I13" s="62"/>
      <c r="J13" s="17"/>
      <c r="K13" s="7"/>
      <c r="L13" s="7"/>
      <c r="M13" s="7"/>
      <c r="N13" s="7"/>
      <c r="O13" s="7"/>
      <c r="P13" s="18"/>
      <c r="Q13" s="104"/>
      <c r="R13" s="19"/>
      <c r="S13" s="63">
        <f>IF($AD12&gt;11,"B","")</f>
      </c>
      <c r="T13" s="64">
        <f>IF($AD12&gt;10,"B","")</f>
      </c>
      <c r="U13" s="64">
        <f>IF($AD12&gt;9,"B","")</f>
      </c>
      <c r="V13" s="64">
        <f>IF($AD12&gt;8,"B","")</f>
      </c>
      <c r="W13" s="64">
        <f>IF($AD12&gt;7,"B","")</f>
      </c>
      <c r="X13" s="64">
        <f>IF($AD12&gt;6,"B","")</f>
      </c>
      <c r="Y13" s="64">
        <f>IF($AD12&gt;5,"B","")</f>
      </c>
      <c r="Z13" s="64">
        <f>IF($AD12&gt;4,"B","")</f>
      </c>
      <c r="AA13" s="64">
        <f>IF($AD12&gt;3,"B","")</f>
      </c>
      <c r="AB13" s="64">
        <f>IF($AD12&gt;2,"B","")</f>
      </c>
      <c r="AC13" s="64">
        <f>IF($AD12&gt;1,"B","")</f>
      </c>
      <c r="AD13" s="65">
        <f>IF($AD12&gt;0,"B","")</f>
      </c>
      <c r="AE13" s="66" t="s">
        <v>3</v>
      </c>
      <c r="AF13" s="67">
        <f>IF(A2="",IF(AND(AD12&gt;0,AE15=(AE11-3)),AF13+1,AF13),0)</f>
        <v>0</v>
      </c>
      <c r="AG13" s="35">
        <f>IF($A$2="",IF(AND($AD$12&gt;0,$AE$15=($AE$11-3)),1,0),0)</f>
        <v>0</v>
      </c>
      <c r="AH13" s="28">
        <f aca="true" t="shared" si="6" ref="AH13:AP13">IF($A$2="",IF($AE$15=($AE$11-3),AG12,AH13),0)</f>
        <v>0</v>
      </c>
      <c r="AI13" s="28">
        <f t="shared" si="6"/>
        <v>0</v>
      </c>
      <c r="AJ13" s="28">
        <f t="shared" si="6"/>
        <v>0</v>
      </c>
      <c r="AK13" s="28">
        <f t="shared" si="6"/>
        <v>0</v>
      </c>
      <c r="AL13" s="28">
        <f t="shared" si="6"/>
        <v>0</v>
      </c>
      <c r="AM13" s="28">
        <f t="shared" si="6"/>
        <v>0</v>
      </c>
      <c r="AN13" s="28">
        <f t="shared" si="6"/>
        <v>0</v>
      </c>
      <c r="AO13" s="28">
        <f t="shared" si="6"/>
        <v>0</v>
      </c>
      <c r="AP13" s="28">
        <f t="shared" si="6"/>
        <v>0</v>
      </c>
      <c r="AQ13" s="28"/>
      <c r="AR13" s="29"/>
      <c r="AS13" s="29"/>
      <c r="AT13" s="29"/>
      <c r="AU13" s="29"/>
      <c r="AV13" s="29"/>
      <c r="AW13" s="29"/>
      <c r="AX13" s="29"/>
      <c r="AY13" s="5"/>
      <c r="AZ13" s="5"/>
      <c r="BA13" s="5"/>
    </row>
    <row r="14" spans="1:50" s="3" customFormat="1" ht="15" customHeight="1">
      <c r="A14" s="22"/>
      <c r="B14" s="22"/>
      <c r="C14" s="22"/>
      <c r="D14" s="22"/>
      <c r="E14" s="22"/>
      <c r="F14" s="22"/>
      <c r="G14" s="22"/>
      <c r="H14" s="22"/>
      <c r="I14" s="60"/>
      <c r="J14" s="24"/>
      <c r="K14" s="22"/>
      <c r="L14" s="22"/>
      <c r="M14" s="22"/>
      <c r="N14" s="22"/>
      <c r="O14" s="22"/>
      <c r="P14" s="25"/>
      <c r="Q14" s="102"/>
      <c r="R14" s="26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68"/>
      <c r="AE14" s="69">
        <f>IF(AF12&gt;0,AF12/(AF12+AF14),0)</f>
        <v>0</v>
      </c>
      <c r="AF14" s="42">
        <f>COUNTIF(AG12:AP12,0)</f>
        <v>10</v>
      </c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29"/>
      <c r="AS14" s="22"/>
      <c r="AT14" s="22"/>
      <c r="AU14" s="22"/>
      <c r="AV14" s="22"/>
      <c r="AW14" s="22"/>
      <c r="AX14" s="22"/>
    </row>
    <row r="15" spans="1:50" ht="12.75">
      <c r="A15" s="7"/>
      <c r="B15" s="7"/>
      <c r="C15" s="7"/>
      <c r="D15" s="7"/>
      <c r="E15" s="7"/>
      <c r="F15" s="7"/>
      <c r="G15" s="7"/>
      <c r="H15" s="7"/>
      <c r="I15" s="62"/>
      <c r="J15" s="17"/>
      <c r="K15" s="7"/>
      <c r="L15" s="7"/>
      <c r="M15" s="7"/>
      <c r="N15" s="7"/>
      <c r="O15" s="7"/>
      <c r="P15" s="18"/>
      <c r="Q15" s="104"/>
      <c r="R15" s="19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58"/>
      <c r="AE15" s="56">
        <f>(A2="")*MOD(AE15+1,AE11)</f>
        <v>0</v>
      </c>
      <c r="AF15" s="7"/>
      <c r="AG15" s="7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7"/>
      <c r="AT15" s="7"/>
      <c r="AU15" s="7"/>
      <c r="AV15" s="7"/>
      <c r="AW15" s="7"/>
      <c r="AX15" s="7"/>
    </row>
    <row r="16" spans="1:50" ht="13.5" customHeight="1">
      <c r="A16" s="7"/>
      <c r="B16" s="7"/>
      <c r="C16" s="7"/>
      <c r="D16" s="7"/>
      <c r="E16" s="7"/>
      <c r="F16" s="7"/>
      <c r="G16" s="7"/>
      <c r="H16" s="7"/>
      <c r="I16" s="70"/>
      <c r="J16" s="71"/>
      <c r="K16" s="71"/>
      <c r="L16" s="71"/>
      <c r="M16" s="71"/>
      <c r="N16" s="71"/>
      <c r="O16" s="71"/>
      <c r="P16" s="72"/>
      <c r="Q16" s="100" t="s">
        <v>0</v>
      </c>
      <c r="R16" s="73"/>
      <c r="S16" s="74" t="str">
        <f>IF($AD17&gt;11,"b"," ")</f>
        <v> </v>
      </c>
      <c r="T16" s="74" t="str">
        <f>IF($AD17&gt;10,"b"," ")</f>
        <v> </v>
      </c>
      <c r="U16" s="74" t="str">
        <f>IF($AD17&gt;9,"b"," ")</f>
        <v>b</v>
      </c>
      <c r="V16" s="74" t="str">
        <f>IF($AD17&gt;8,"b"," ")</f>
        <v>b</v>
      </c>
      <c r="W16" s="74" t="str">
        <f>IF($AD17&gt;7,"b"," ")</f>
        <v>b</v>
      </c>
      <c r="X16" s="74" t="str">
        <f>IF($AD17&gt;6,"b"," ")</f>
        <v>b</v>
      </c>
      <c r="Y16" s="74" t="str">
        <f>IF($AD17&gt;5,"b"," ")</f>
        <v>b</v>
      </c>
      <c r="Z16" s="74" t="str">
        <f>IF($AD17&gt;4,"b"," ")</f>
        <v>b</v>
      </c>
      <c r="AA16" s="74" t="str">
        <f>IF($AD17&gt;3,"b"," ")</f>
        <v>b</v>
      </c>
      <c r="AB16" s="74" t="str">
        <f>IF($AD17&gt;2,"b"," ")</f>
        <v>b</v>
      </c>
      <c r="AC16" s="74" t="str">
        <f>IF($AD17&gt;1,"b"," ")</f>
        <v>b</v>
      </c>
      <c r="AD16" s="75" t="str">
        <f>IF($AD17&gt;0,"b"," ")</f>
        <v>b</v>
      </c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</row>
    <row r="17" spans="1:50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18"/>
      <c r="Q17" s="101">
        <v>10</v>
      </c>
      <c r="R17" s="19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9">
        <f>Q17-P11-AD12</f>
        <v>10</v>
      </c>
      <c r="AE17" s="7"/>
      <c r="AF17" s="76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</row>
    <row r="18" spans="1:50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18"/>
      <c r="Q18" s="104"/>
      <c r="R18" s="19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</row>
    <row r="19" spans="1:50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18"/>
      <c r="Q19" s="104"/>
      <c r="R19" s="19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</row>
    <row r="20" spans="1:50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18"/>
      <c r="Q20" s="104"/>
      <c r="R20" s="19"/>
      <c r="S20" s="7"/>
      <c r="T20" s="7"/>
      <c r="U20" s="7"/>
      <c r="V20" s="7"/>
      <c r="W20" s="7"/>
      <c r="X20" s="7"/>
      <c r="Y20" s="83" t="s">
        <v>12</v>
      </c>
      <c r="Z20" s="22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</row>
    <row r="21" spans="1:50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18"/>
      <c r="Q21" s="104"/>
      <c r="R21" s="19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</row>
  </sheetData>
  <sheetProtection sheet="1" objects="1" scenarios="1"/>
  <mergeCells count="6">
    <mergeCell ref="AE1:AE2"/>
    <mergeCell ref="AE9:AE10"/>
    <mergeCell ref="B7:H7"/>
    <mergeCell ref="Z12:AC12"/>
    <mergeCell ref="Z6:AC6"/>
    <mergeCell ref="Q5:Q6"/>
  </mergeCells>
  <printOptions/>
  <pageMargins left="0.75" right="0.75" top="1" bottom="1" header="0.5118110236220472" footer="0.5118110236220472"/>
  <pageSetup horizontalDpi="300" verticalDpi="300" orientation="landscape" paperSize="9" r:id="rId4"/>
  <headerFooter alignWithMargins="0">
    <oddHeader>&amp;C&amp;A</oddHeader>
    <oddFooter>&amp;CPágina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Kanban simulator</dc:title>
  <dc:subject>Logistics management</dc:subject>
  <dc:creator>Cornelio Abellanas</dc:creator>
  <cp:keywords/>
  <dc:description/>
  <cp:lastModifiedBy>Cornelio</cp:lastModifiedBy>
  <cp:lastPrinted>2000-10-11T12:59:06Z</cp:lastPrinted>
  <dcterms:created xsi:type="dcterms:W3CDTF">1998-09-23T13:14:35Z</dcterms:created>
  <dcterms:modified xsi:type="dcterms:W3CDTF">2007-11-25T09:06:10Z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