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05" activeTab="0"/>
  </bookViews>
  <sheets>
    <sheet name="Euro 2008 Schedule" sheetId="1" r:id="rId1"/>
    <sheet name="Dummy Table" sheetId="2" state="hidden" r:id="rId2"/>
    <sheet name="Language" sheetId="3" state="hidden" r:id="rId3"/>
    <sheet name="Timezone" sheetId="4" state="hidden" r:id="rId4"/>
    <sheet name="Row and Column" sheetId="5" state="hidden" r:id="rId5"/>
  </sheets>
  <definedNames>
    <definedName name="_xlnm.Print_Area" localSheetId="0">'Euro 2008 Schedule'!$B$8:$Z$98</definedName>
  </definedNames>
  <calcPr fullCalcOnLoad="1"/>
</workbook>
</file>

<file path=xl/sharedStrings.xml><?xml version="1.0" encoding="utf-8"?>
<sst xmlns="http://schemas.openxmlformats.org/spreadsheetml/2006/main" count="1202" uniqueCount="592">
  <si>
    <t>FIRST ROUND</t>
  </si>
  <si>
    <t>Date</t>
  </si>
  <si>
    <t>Time</t>
  </si>
  <si>
    <t xml:space="preserve">Score </t>
  </si>
  <si>
    <t>-</t>
  </si>
  <si>
    <t>Switzerland</t>
  </si>
  <si>
    <t>Portugal</t>
  </si>
  <si>
    <t>Austria</t>
  </si>
  <si>
    <t>Germany</t>
  </si>
  <si>
    <t>Romania</t>
  </si>
  <si>
    <t>Netherlands</t>
  </si>
  <si>
    <t>Spain</t>
  </si>
  <si>
    <t>Greece</t>
  </si>
  <si>
    <t>Czech Republic</t>
  </si>
  <si>
    <t>Croatia</t>
  </si>
  <si>
    <t>Italy</t>
  </si>
  <si>
    <t>Sweden</t>
  </si>
  <si>
    <t>Turkey</t>
  </si>
  <si>
    <t>Poland</t>
  </si>
  <si>
    <t>France</t>
  </si>
  <si>
    <t>Russia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</si>
  <si>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</si>
  <si>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</si>
  <si>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</si>
  <si>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</si>
  <si>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</si>
  <si>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</si>
  <si>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</si>
  <si>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</si>
  <si>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</si>
  <si>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</si>
  <si>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Match</t>
  </si>
  <si>
    <t>Win Left</t>
  </si>
  <si>
    <t>Win Right</t>
  </si>
  <si>
    <t>Constant</t>
  </si>
  <si>
    <t>Draw Left</t>
  </si>
  <si>
    <t>Lose Left</t>
  </si>
  <si>
    <t>Draw Right</t>
  </si>
  <si>
    <t>Lose Right</t>
  </si>
  <si>
    <t>Country</t>
  </si>
  <si>
    <t>Turki</t>
  </si>
  <si>
    <t>Swiss</t>
  </si>
  <si>
    <t>Language</t>
  </si>
  <si>
    <t>English</t>
  </si>
  <si>
    <t>Kroasia</t>
  </si>
  <si>
    <t>Jerman</t>
  </si>
  <si>
    <t>Polandia</t>
  </si>
  <si>
    <t>Belanda</t>
  </si>
  <si>
    <t>Italia</t>
  </si>
  <si>
    <t>Rumania</t>
  </si>
  <si>
    <t>Perancis</t>
  </si>
  <si>
    <t>Swedia</t>
  </si>
  <si>
    <t>Spanyol</t>
  </si>
  <si>
    <t>Yunani</t>
  </si>
  <si>
    <t>Rusia</t>
  </si>
  <si>
    <t>SCHEDULES AND RESULTS</t>
  </si>
  <si>
    <t>STANDINGS</t>
  </si>
  <si>
    <t>QUARTER FINALS</t>
  </si>
  <si>
    <t>SEMIFINAL</t>
  </si>
  <si>
    <t>FINAL</t>
  </si>
  <si>
    <t>:</t>
  </si>
  <si>
    <t>ROW NUMBER</t>
  </si>
  <si>
    <t>COLUMN NUMBER</t>
  </si>
  <si>
    <t>for finding played country</t>
  </si>
  <si>
    <t>Turquie</t>
  </si>
  <si>
    <t>Suisse</t>
  </si>
  <si>
    <t>République tchèque</t>
  </si>
  <si>
    <t>Pologne</t>
  </si>
  <si>
    <t>Allemagne</t>
  </si>
  <si>
    <t>Croatie</t>
  </si>
  <si>
    <t>Autriche</t>
  </si>
  <si>
    <t>Italie</t>
  </si>
  <si>
    <t>Pays-Bas</t>
  </si>
  <si>
    <t>Roumanie</t>
  </si>
  <si>
    <t>Suède</t>
  </si>
  <si>
    <t>Grèce</t>
  </si>
  <si>
    <t>Russie</t>
  </si>
  <si>
    <t>Espagne</t>
  </si>
  <si>
    <t>Türkei</t>
  </si>
  <si>
    <t>Schweiz</t>
  </si>
  <si>
    <t>Tschechische Republik</t>
  </si>
  <si>
    <t>Polen</t>
  </si>
  <si>
    <t>Deutschland</t>
  </si>
  <si>
    <t>Kroatien</t>
  </si>
  <si>
    <t>Österreich</t>
  </si>
  <si>
    <t>Italien</t>
  </si>
  <si>
    <t xml:space="preserve">Niederlande </t>
  </si>
  <si>
    <t>Rumänien</t>
  </si>
  <si>
    <t>Frankreich</t>
  </si>
  <si>
    <t>Schweden</t>
  </si>
  <si>
    <t>Griechenland</t>
  </si>
  <si>
    <t>Russland</t>
  </si>
  <si>
    <t>Spanien</t>
  </si>
  <si>
    <t>Turquía</t>
  </si>
  <si>
    <t>Suiza</t>
  </si>
  <si>
    <t>República Checa</t>
  </si>
  <si>
    <t>Polonia</t>
  </si>
  <si>
    <t>Alemania</t>
  </si>
  <si>
    <t>Croacia</t>
  </si>
  <si>
    <t>Holanda</t>
  </si>
  <si>
    <t>Rumanía</t>
  </si>
  <si>
    <t>Francia</t>
  </si>
  <si>
    <t>Suecia</t>
  </si>
  <si>
    <t>Grecia</t>
  </si>
  <si>
    <t>España</t>
  </si>
  <si>
    <t>Spanish</t>
  </si>
  <si>
    <t>German</t>
  </si>
  <si>
    <t>Turchia</t>
  </si>
  <si>
    <t>Svizzera</t>
  </si>
  <si>
    <t>Portogallo</t>
  </si>
  <si>
    <t>Rep. Ceca</t>
  </si>
  <si>
    <t>Germania</t>
  </si>
  <si>
    <t>Croazia</t>
  </si>
  <si>
    <t>Olanda</t>
  </si>
  <si>
    <t>Svezia</t>
  </si>
  <si>
    <t>Spagna</t>
  </si>
  <si>
    <t>Italian</t>
  </si>
  <si>
    <t>Portuguese</t>
  </si>
  <si>
    <t>Turquia</t>
  </si>
  <si>
    <t>Suíça</t>
  </si>
  <si>
    <t>Polónia</t>
  </si>
  <si>
    <t>Alemanha</t>
  </si>
  <si>
    <t>Croácia</t>
  </si>
  <si>
    <t xml:space="preserve">Áustria </t>
  </si>
  <si>
    <t>Itália</t>
  </si>
  <si>
    <t>Roménia</t>
  </si>
  <si>
    <t>França</t>
  </si>
  <si>
    <t>Suécia</t>
  </si>
  <si>
    <t>Grécia</t>
  </si>
  <si>
    <t>Rússia</t>
  </si>
  <si>
    <t>Espanha</t>
  </si>
  <si>
    <t>Turcja</t>
  </si>
  <si>
    <t>Szwajcaria</t>
  </si>
  <si>
    <t>Portugalia</t>
  </si>
  <si>
    <t>Czechy</t>
  </si>
  <si>
    <t>Polska</t>
  </si>
  <si>
    <t>Niemcy</t>
  </si>
  <si>
    <t>Chorwacja</t>
  </si>
  <si>
    <t>Włochy</t>
  </si>
  <si>
    <t>Holandia</t>
  </si>
  <si>
    <t>Rumunia</t>
  </si>
  <si>
    <t>Francja</t>
  </si>
  <si>
    <t>Szwecja</t>
  </si>
  <si>
    <t>Grecja</t>
  </si>
  <si>
    <t>Rosja</t>
  </si>
  <si>
    <t>Hiszpania</t>
  </si>
  <si>
    <t>Polish</t>
  </si>
  <si>
    <t>Lithuanian</t>
  </si>
  <si>
    <t>Turkija</t>
  </si>
  <si>
    <t>Šveicarija</t>
  </si>
  <si>
    <t>Portugalija</t>
  </si>
  <si>
    <t>Čekija</t>
  </si>
  <si>
    <t>Lenkija</t>
  </si>
  <si>
    <t>Vokietija</t>
  </si>
  <si>
    <t>Kroatija</t>
  </si>
  <si>
    <t>Austrija</t>
  </si>
  <si>
    <t>Italija</t>
  </si>
  <si>
    <t>Olandija</t>
  </si>
  <si>
    <t>Rumunija</t>
  </si>
  <si>
    <t>Prancūzija</t>
  </si>
  <si>
    <t>Švedija</t>
  </si>
  <si>
    <t>Graikija</t>
  </si>
  <si>
    <t>Rusija</t>
  </si>
  <si>
    <t>Ispanija</t>
  </si>
  <si>
    <t>Suïssa</t>
  </si>
  <si>
    <t>República Txeca</t>
  </si>
  <si>
    <t>Polònia</t>
  </si>
  <si>
    <t>Alemanya</t>
  </si>
  <si>
    <t>Croàcia</t>
  </si>
  <si>
    <t>Itàlia</t>
  </si>
  <si>
    <t>Suècia</t>
  </si>
  <si>
    <t>Grècia</t>
  </si>
  <si>
    <t>Espanya</t>
  </si>
  <si>
    <t>Catalan</t>
  </si>
  <si>
    <t>Törökország</t>
  </si>
  <si>
    <t>Svájc</t>
  </si>
  <si>
    <t>Portugália</t>
  </si>
  <si>
    <t>Csehország</t>
  </si>
  <si>
    <t>Lengyelország</t>
  </si>
  <si>
    <t>Németország</t>
  </si>
  <si>
    <t>Horvátország</t>
  </si>
  <si>
    <t>Ausztria</t>
  </si>
  <si>
    <t>Olaszország</t>
  </si>
  <si>
    <t>Hollandia</t>
  </si>
  <si>
    <t>Románia</t>
  </si>
  <si>
    <t>Franciaország</t>
  </si>
  <si>
    <t>Svédország</t>
  </si>
  <si>
    <t>Görögország</t>
  </si>
  <si>
    <t>Oroszország</t>
  </si>
  <si>
    <t>Spanyolország</t>
  </si>
  <si>
    <t>Hungarian</t>
  </si>
  <si>
    <t>Turcia</t>
  </si>
  <si>
    <t>Elvetia</t>
  </si>
  <si>
    <t>Cehia</t>
  </si>
  <si>
    <t>Franta</t>
  </si>
  <si>
    <t>Suedia</t>
  </si>
  <si>
    <t>Spania</t>
  </si>
  <si>
    <t>Romanian</t>
  </si>
  <si>
    <t>Turkije</t>
  </si>
  <si>
    <t>Zwitserland</t>
  </si>
  <si>
    <t>Tjechië</t>
  </si>
  <si>
    <t>Duitsland</t>
  </si>
  <si>
    <t>Kroatië</t>
  </si>
  <si>
    <t>Oostenrijk</t>
  </si>
  <si>
    <t>Italië</t>
  </si>
  <si>
    <t>Nederland</t>
  </si>
  <si>
    <t>Roemenië</t>
  </si>
  <si>
    <t>Frankrijk</t>
  </si>
  <si>
    <t>Zweden</t>
  </si>
  <si>
    <t>Griekenland</t>
  </si>
  <si>
    <t>Rusland</t>
  </si>
  <si>
    <t>Spanje</t>
  </si>
  <si>
    <t>Dutch</t>
  </si>
  <si>
    <t>Tyrkiet</t>
  </si>
  <si>
    <t>Tjekkiet</t>
  </si>
  <si>
    <t>Tyskland</t>
  </si>
  <si>
    <t>Østrig</t>
  </si>
  <si>
    <t>Holland</t>
  </si>
  <si>
    <t>Romanien</t>
  </si>
  <si>
    <t>Frankrig</t>
  </si>
  <si>
    <t>Sverige</t>
  </si>
  <si>
    <t>Grækenland</t>
  </si>
  <si>
    <t>Danish</t>
  </si>
  <si>
    <t>Repubblika Ċeka</t>
  </si>
  <si>
    <t>Polonja</t>
  </si>
  <si>
    <t>Ġermanja</t>
  </si>
  <si>
    <t>Kroazja</t>
  </si>
  <si>
    <t>Italja</t>
  </si>
  <si>
    <t>Rumanija</t>
  </si>
  <si>
    <t>Franza</t>
  </si>
  <si>
    <t>Svezja</t>
  </si>
  <si>
    <t>Greċja</t>
  </si>
  <si>
    <t>Russja</t>
  </si>
  <si>
    <t>Spanja</t>
  </si>
  <si>
    <t>Maltese</t>
  </si>
  <si>
    <t>Turčija</t>
  </si>
  <si>
    <t>Švica</t>
  </si>
  <si>
    <t>Portugalska</t>
  </si>
  <si>
    <t>Češka</t>
  </si>
  <si>
    <t>Nemčija</t>
  </si>
  <si>
    <t>Hrvaška</t>
  </si>
  <si>
    <t>Avstrija</t>
  </si>
  <si>
    <t>Nizozemska</t>
  </si>
  <si>
    <t>Romunija</t>
  </si>
  <si>
    <t>Francija</t>
  </si>
  <si>
    <t>Švedska</t>
  </si>
  <si>
    <t>Grčija</t>
  </si>
  <si>
    <t>Španija</t>
  </si>
  <si>
    <t>Slovenian</t>
  </si>
  <si>
    <t>Turkki</t>
  </si>
  <si>
    <t>Sveitsi</t>
  </si>
  <si>
    <t>Portugali</t>
  </si>
  <si>
    <t>Tsekin tasavalta</t>
  </si>
  <si>
    <t>Puola</t>
  </si>
  <si>
    <t>Saksa</t>
  </si>
  <si>
    <t>Kroatia</t>
  </si>
  <si>
    <t>Itävalta</t>
  </si>
  <si>
    <t>Hollanti</t>
  </si>
  <si>
    <t>Ranska</t>
  </si>
  <si>
    <t>Ruotsi</t>
  </si>
  <si>
    <t>Kreikka</t>
  </si>
  <si>
    <t>Venäjä</t>
  </si>
  <si>
    <t>Espanja</t>
  </si>
  <si>
    <t>Finnish</t>
  </si>
  <si>
    <t>Турска</t>
  </si>
  <si>
    <t>Швајцарска</t>
  </si>
  <si>
    <t>Португалија</t>
  </si>
  <si>
    <t>Чешка</t>
  </si>
  <si>
    <t>Пољска</t>
  </si>
  <si>
    <t>Немачка</t>
  </si>
  <si>
    <t>Хрватска</t>
  </si>
  <si>
    <t>Аустрија</t>
  </si>
  <si>
    <t>Италија</t>
  </si>
  <si>
    <t>Холандија</t>
  </si>
  <si>
    <t>Румунија</t>
  </si>
  <si>
    <t>Француска</t>
  </si>
  <si>
    <t>Шведска</t>
  </si>
  <si>
    <t>Грчка</t>
  </si>
  <si>
    <t>Русија</t>
  </si>
  <si>
    <t>Шпанија</t>
  </si>
  <si>
    <t>Serbian</t>
  </si>
  <si>
    <t>Turqia</t>
  </si>
  <si>
    <t>Zvicra</t>
  </si>
  <si>
    <t>Republika e Çekisë</t>
  </si>
  <si>
    <t>Gjermania</t>
  </si>
  <si>
    <t>Kroacia</t>
  </si>
  <si>
    <t>Franca</t>
  </si>
  <si>
    <t>Greqia</t>
  </si>
  <si>
    <t>Albanian</t>
  </si>
  <si>
    <t>Турция</t>
  </si>
  <si>
    <t>Швейцария</t>
  </si>
  <si>
    <t>Португалия</t>
  </si>
  <si>
    <t>Чехия</t>
  </si>
  <si>
    <t>Полша</t>
  </si>
  <si>
    <t>Германия</t>
  </si>
  <si>
    <t>Хърватия</t>
  </si>
  <si>
    <t>Австрия</t>
  </si>
  <si>
    <t>Италия</t>
  </si>
  <si>
    <t>Холандия</t>
  </si>
  <si>
    <t>Румъния</t>
  </si>
  <si>
    <t>Франция</t>
  </si>
  <si>
    <t>Швеция</t>
  </si>
  <si>
    <t>Гърция</t>
  </si>
  <si>
    <t>Русия</t>
  </si>
  <si>
    <t>Испания</t>
  </si>
  <si>
    <t>Bulgarian</t>
  </si>
  <si>
    <t>Τουρκία</t>
  </si>
  <si>
    <t>Ελβετία</t>
  </si>
  <si>
    <t xml:space="preserve">Πορτογαλία </t>
  </si>
  <si>
    <t>Τσεχία</t>
  </si>
  <si>
    <t>Πολωνία</t>
  </si>
  <si>
    <t>Γερμανία</t>
  </si>
  <si>
    <t xml:space="preserve">Κροατία </t>
  </si>
  <si>
    <t>Αυστρία</t>
  </si>
  <si>
    <t>Ιταλία</t>
  </si>
  <si>
    <t>Ολλανδία</t>
  </si>
  <si>
    <t>Ρομανία</t>
  </si>
  <si>
    <t>Γαλλία</t>
  </si>
  <si>
    <t>Σουηδία</t>
  </si>
  <si>
    <t>Ελλαδα</t>
  </si>
  <si>
    <t>Ρωσσία</t>
  </si>
  <si>
    <t>Ισπανία</t>
  </si>
  <si>
    <t>Greek</t>
  </si>
  <si>
    <t>Польша</t>
  </si>
  <si>
    <t>Хорватия</t>
  </si>
  <si>
    <t>Голландия</t>
  </si>
  <si>
    <t>Румыния</t>
  </si>
  <si>
    <t>Греция</t>
  </si>
  <si>
    <t>Россия</t>
  </si>
  <si>
    <t>Russian</t>
  </si>
  <si>
    <t>Türkiye</t>
  </si>
  <si>
    <t>İsviçre</t>
  </si>
  <si>
    <t>Portekiz</t>
  </si>
  <si>
    <t>Çek Cumhuriyeti</t>
  </si>
  <si>
    <t>Polonya</t>
  </si>
  <si>
    <t>Almanya</t>
  </si>
  <si>
    <t>Hırvatistan</t>
  </si>
  <si>
    <t>Avusturya</t>
  </si>
  <si>
    <t>İtalya</t>
  </si>
  <si>
    <t>Hollanda</t>
  </si>
  <si>
    <t>Romanya</t>
  </si>
  <si>
    <t>Fransa</t>
  </si>
  <si>
    <t>İsveç</t>
  </si>
  <si>
    <t>Yunanistan</t>
  </si>
  <si>
    <t>Rusya</t>
  </si>
  <si>
    <t>İspanya</t>
  </si>
  <si>
    <t>Turkish</t>
  </si>
  <si>
    <t>Turska</t>
  </si>
  <si>
    <t>Švicarska</t>
  </si>
  <si>
    <t>Poljska</t>
  </si>
  <si>
    <t>Njemačka</t>
  </si>
  <si>
    <t>Hrvatska</t>
  </si>
  <si>
    <t>Rumunjska</t>
  </si>
  <si>
    <t>Francuska</t>
  </si>
  <si>
    <t>Grčka</t>
  </si>
  <si>
    <t>Španjolska</t>
  </si>
  <si>
    <t>Croatian</t>
  </si>
  <si>
    <t>Thổ Nhĩ Kỳ</t>
  </si>
  <si>
    <t>Thụy Sỹ</t>
  </si>
  <si>
    <t>Bồ Đào Nha</t>
  </si>
  <si>
    <t>CH Séc</t>
  </si>
  <si>
    <t>Ba Lan</t>
  </si>
  <si>
    <t>Đức</t>
  </si>
  <si>
    <t>Áo</t>
  </si>
  <si>
    <t>Hà Lan</t>
  </si>
  <si>
    <t>Rumani</t>
  </si>
  <si>
    <t>Pháp</t>
  </si>
  <si>
    <t>Thụy Điển</t>
  </si>
  <si>
    <t>Hy Lạp</t>
  </si>
  <si>
    <t>Nga</t>
  </si>
  <si>
    <t>Tây Ban Nha</t>
  </si>
  <si>
    <t>Vietnamese</t>
  </si>
  <si>
    <t>Ceko</t>
  </si>
  <si>
    <t>Itali</t>
  </si>
  <si>
    <t>Bahasa</t>
  </si>
  <si>
    <t>Republik Czech</t>
  </si>
  <si>
    <t>Sepanyol</t>
  </si>
  <si>
    <t>Malay</t>
  </si>
  <si>
    <t>تركيا</t>
  </si>
  <si>
    <t>سويسرا</t>
  </si>
  <si>
    <t>البرتغال</t>
  </si>
  <si>
    <t>جمهورية التشيك</t>
  </si>
  <si>
    <t>بولندا</t>
  </si>
  <si>
    <t>ألمانيا</t>
  </si>
  <si>
    <t>كرواتيا</t>
  </si>
  <si>
    <t>النمسا</t>
  </si>
  <si>
    <t>إيطاليا</t>
  </si>
  <si>
    <t>هولندا</t>
  </si>
  <si>
    <t>رومانيا</t>
  </si>
  <si>
    <t>فرنسا</t>
  </si>
  <si>
    <t>السويد</t>
  </si>
  <si>
    <t>اليونان</t>
  </si>
  <si>
    <t>روسيا</t>
  </si>
  <si>
    <t>أسبانيا</t>
  </si>
  <si>
    <t>Arabic</t>
  </si>
  <si>
    <t>土耳其</t>
  </si>
  <si>
    <t>瑞士</t>
  </si>
  <si>
    <t>葡萄牙</t>
  </si>
  <si>
    <t>捷克</t>
  </si>
  <si>
    <t>波兰</t>
  </si>
  <si>
    <t>德国</t>
  </si>
  <si>
    <t>克罗地亚</t>
  </si>
  <si>
    <t>奥地利</t>
  </si>
  <si>
    <t>意大利</t>
  </si>
  <si>
    <t>荷兰</t>
  </si>
  <si>
    <t>罗马尼亚</t>
  </si>
  <si>
    <t>法国</t>
  </si>
  <si>
    <t>瑞典</t>
  </si>
  <si>
    <t>希腊</t>
  </si>
  <si>
    <t>俄罗斯</t>
  </si>
  <si>
    <t>西班牙</t>
  </si>
  <si>
    <t>Chinese</t>
  </si>
  <si>
    <t>Header</t>
  </si>
  <si>
    <t>19 Jun</t>
  </si>
  <si>
    <t>20 Jun</t>
  </si>
  <si>
    <t>21 Jun</t>
  </si>
  <si>
    <t>22 Jun</t>
  </si>
  <si>
    <t>Normal Time</t>
  </si>
  <si>
    <t>Extra Time</t>
  </si>
  <si>
    <t>Penalty Shoot Out</t>
  </si>
  <si>
    <t>25 Jun</t>
  </si>
  <si>
    <t>26 Jun</t>
  </si>
  <si>
    <t>29 Jun</t>
  </si>
  <si>
    <t>UEFA EURO 2008 CHAMPION IS</t>
  </si>
  <si>
    <t>P</t>
  </si>
  <si>
    <t>Pt</t>
  </si>
  <si>
    <t xml:space="preserve">for finding country language </t>
  </si>
  <si>
    <t>for finding country timezone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</si>
  <si>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</si>
  <si>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</si>
  <si>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</si>
  <si>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</si>
  <si>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</si>
  <si>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</si>
  <si>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</si>
  <si>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</si>
  <si>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</si>
  <si>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</si>
  <si>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</si>
  <si>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</si>
  <si>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</si>
  <si>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</si>
  <si>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</si>
  <si>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</si>
  <si>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</si>
  <si>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</si>
  <si>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</si>
  <si>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</si>
  <si>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</si>
  <si>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</si>
  <si>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</si>
  <si>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</si>
  <si>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</si>
  <si>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</si>
  <si>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</si>
  <si>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</si>
  <si>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</si>
  <si>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</si>
  <si>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</si>
  <si>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</si>
  <si>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</si>
  <si>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</si>
  <si>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</si>
  <si>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</si>
  <si>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</si>
  <si>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</si>
  <si>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</si>
  <si>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</si>
  <si>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</si>
  <si>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</si>
  <si>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</si>
  <si>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</si>
  <si>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</si>
  <si>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</si>
  <si>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</si>
  <si>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</si>
  <si>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</si>
  <si>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</si>
  <si>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</si>
  <si>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</si>
  <si>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</si>
  <si>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</si>
  <si>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</si>
  <si>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</si>
  <si>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</si>
  <si>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</si>
  <si>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</si>
  <si>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</si>
  <si>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</si>
  <si>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</si>
  <si>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</si>
  <si>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</si>
  <si>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</si>
  <si>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</si>
  <si>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</si>
  <si>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</si>
  <si>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</si>
  <si>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</si>
  <si>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</si>
  <si>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</si>
  <si>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</si>
  <si>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</si>
  <si>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</si>
  <si>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</si>
  <si>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</si>
  <si>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</si>
  <si>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</si>
  <si>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</si>
  <si>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</si>
  <si>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</si>
  <si>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</si>
  <si>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</si>
  <si>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</si>
  <si>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</si>
  <si>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</si>
  <si>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</si>
  <si>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</si>
  <si>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</si>
  <si>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</si>
  <si>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</si>
  <si>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</si>
  <si>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</si>
  <si>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</si>
  <si>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</si>
  <si>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</si>
  <si>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</si>
  <si>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</si>
  <si>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</si>
  <si>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</si>
  <si>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</si>
  <si>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</si>
  <si>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</si>
  <si>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</si>
  <si>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</si>
  <si>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</si>
  <si>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</si>
  <si>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</si>
  <si>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</si>
  <si>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</si>
  <si>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</si>
  <si>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</si>
  <si>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</si>
  <si>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</si>
  <si>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</si>
  <si>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</si>
  <si>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</si>
  <si>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</si>
  <si>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</si>
  <si>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</si>
  <si>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</si>
  <si>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</si>
  <si>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</si>
  <si>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</si>
  <si>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</si>
  <si>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</si>
  <si>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</si>
  <si>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</si>
  <si>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</si>
  <si>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</si>
  <si>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</si>
  <si>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</si>
  <si>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</si>
  <si>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</si>
  <si>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</si>
  <si>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</si>
  <si>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</si>
  <si>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</si>
  <si>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</si>
  <si>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 xml:space="preserve">CITY DATE AND TIME PREFERENCE </t>
  </si>
  <si>
    <t xml:space="preserve">COUNTRY NAME PREFERENCE </t>
  </si>
  <si>
    <t>Coeffien</t>
  </si>
  <si>
    <t>Pt Rank</t>
  </si>
  <si>
    <t>F Rank</t>
  </si>
  <si>
    <t>Diff Rank</t>
  </si>
  <si>
    <t>Diff</t>
  </si>
  <si>
    <t>First Table</t>
  </si>
  <si>
    <t>Second Table</t>
  </si>
  <si>
    <t>First Match</t>
  </si>
  <si>
    <t>Second Match</t>
  </si>
  <si>
    <t>Score Left</t>
  </si>
  <si>
    <t>Score Right</t>
  </si>
  <si>
    <t>Diff 1 Rank</t>
  </si>
  <si>
    <t>F 1 Rank</t>
  </si>
  <si>
    <t>Coef Rank</t>
  </si>
  <si>
    <t>Coefficien</t>
  </si>
  <si>
    <t>1ST</t>
  </si>
  <si>
    <t>2ND</t>
  </si>
  <si>
    <t>1ST Sort</t>
  </si>
  <si>
    <t>Match Table</t>
  </si>
  <si>
    <t>Match #</t>
  </si>
  <si>
    <t>r musadya</t>
  </si>
  <si>
    <t>VISIT WWW.EXCELTEMPLATE.NET FOR MORE TEMPLATES AND UPDATES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</si>
</sst>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\-mmm;@"/>
    <numFmt numFmtId="171" formatCode="h:mm;@"/>
    <numFmt numFmtId="172" formatCode="[$-409]h:mm:ss\ AM/PM"/>
    <numFmt numFmtId="173" formatCode="[$-409]m/d/yy\ h:mm\ AM/PM;@"/>
    <numFmt numFmtId="174" formatCode="[$-409]dddd\,\ mmmm\ dd\,\ yyyy"/>
    <numFmt numFmtId="175" formatCode="m/d/yy\ h:mm;@"/>
  </numFmts>
  <fonts count="14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8"/>
      <name val="Verdana"/>
      <family val="2"/>
    </font>
    <font>
      <b/>
      <u val="single"/>
      <sz val="11"/>
      <color indexed="9"/>
      <name val="Verdan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1" fontId="1" fillId="0" borderId="0" xfId="0" applyNumberFormat="1" applyFont="1" applyBorder="1" applyAlignment="1" applyProtection="1">
      <alignment horizontal="center" vertical="center" shrinkToFit="1"/>
      <protection hidden="1"/>
    </xf>
    <xf numFmtId="171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170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left" vertical="center" indent="1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" fontId="1" fillId="0" borderId="0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71" fontId="1" fillId="0" borderId="12" xfId="0" applyNumberFormat="1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 indent="1" shrinkToFi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75" fontId="1" fillId="0" borderId="0" xfId="0" applyNumberFormat="1" applyFont="1" applyBorder="1" applyAlignment="1" applyProtection="1">
      <alignment vertical="center"/>
      <protection hidden="1"/>
    </xf>
    <xf numFmtId="175" fontId="1" fillId="0" borderId="12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175" fontId="9" fillId="0" borderId="0" xfId="0" applyNumberFormat="1" applyFont="1" applyBorder="1" applyAlignment="1" applyProtection="1">
      <alignment horizontal="center" vertical="center" shrinkToFit="1"/>
      <protection hidden="1"/>
    </xf>
    <xf numFmtId="170" fontId="9" fillId="0" borderId="0" xfId="0" applyNumberFormat="1" applyFont="1" applyBorder="1" applyAlignment="1" applyProtection="1">
      <alignment horizontal="right" vertical="center" shrinkToFit="1"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 hidden="1"/>
    </xf>
    <xf numFmtId="171" fontId="10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171" fontId="10" fillId="0" borderId="0" xfId="0" applyNumberFormat="1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" fontId="9" fillId="0" borderId="0" xfId="0" applyNumberFormat="1" applyFont="1" applyBorder="1" applyAlignment="1" applyProtection="1">
      <alignment vertical="center"/>
      <protection hidden="1"/>
    </xf>
    <xf numFmtId="175" fontId="10" fillId="0" borderId="0" xfId="0" applyNumberFormat="1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49" fontId="6" fillId="4" borderId="0" xfId="0" applyNumberFormat="1" applyFont="1" applyFill="1" applyAlignment="1" applyProtection="1">
      <alignment horizontal="left" vertical="center"/>
      <protection hidden="1" locked="0"/>
    </xf>
    <xf numFmtId="0" fontId="6" fillId="4" borderId="0" xfId="0" applyFont="1" applyFill="1" applyAlignment="1" applyProtection="1">
      <alignment horizontal="left" vertical="center"/>
      <protection hidden="1" locked="0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12" fillId="2" borderId="0" xfId="20" applyFont="1" applyFill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333399"/>
      </font>
      <border/>
    </dxf>
    <dxf>
      <font>
        <b/>
        <i val="0"/>
        <color rgb="FF0000FF"/>
      </font>
      <border/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41</xdr:row>
      <xdr:rowOff>123825</xdr:rowOff>
    </xdr:from>
    <xdr:to>
      <xdr:col>25</xdr:col>
      <xdr:colOff>114300</xdr:colOff>
      <xdr:row>79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762875"/>
          <a:ext cx="5457825" cy="715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DB162"/>
  <sheetViews>
    <sheetView showGridLines="0" tabSelected="1" zoomScale="80" zoomScaleNormal="80" workbookViewId="0" topLeftCell="A1">
      <selection activeCell="AB15" sqref="AB15"/>
    </sheetView>
  </sheetViews>
  <sheetFormatPr defaultColWidth="9.140625" defaultRowHeight="12.75"/>
  <cols>
    <col min="1" max="3" width="2.421875" style="4" customWidth="1"/>
    <col min="4" max="4" width="7.57421875" style="4" customWidth="1"/>
    <col min="5" max="5" width="10.00390625" style="4" customWidth="1"/>
    <col min="6" max="6" width="10.28125" style="4" customWidth="1"/>
    <col min="7" max="7" width="21.7109375" style="4" customWidth="1"/>
    <col min="8" max="8" width="1.7109375" style="4" customWidth="1"/>
    <col min="9" max="9" width="4.7109375" style="4" customWidth="1"/>
    <col min="10" max="10" width="2.7109375" style="5" customWidth="1"/>
    <col min="11" max="11" width="4.7109375" style="4" customWidth="1"/>
    <col min="12" max="12" width="1.7109375" style="4" customWidth="1"/>
    <col min="13" max="13" width="21.7109375" style="4" customWidth="1"/>
    <col min="14" max="17" width="2.421875" style="4" customWidth="1"/>
    <col min="18" max="18" width="21.7109375" style="4" customWidth="1"/>
    <col min="19" max="24" width="9.140625" style="4" customWidth="1"/>
    <col min="25" max="26" width="2.421875" style="4" customWidth="1"/>
    <col min="27" max="27" width="9.140625" style="4" customWidth="1"/>
    <col min="28" max="28" width="9.140625" style="6" customWidth="1"/>
    <col min="29" max="29" width="11.8515625" style="6" bestFit="1" customWidth="1"/>
    <col min="30" max="30" width="14.7109375" style="4" bestFit="1" customWidth="1"/>
    <col min="31" max="16384" width="9.140625" style="4" customWidth="1"/>
  </cols>
  <sheetData>
    <row r="1" spans="29:30" ht="12.75">
      <c r="AC1" s="7"/>
      <c r="AD1" s="7"/>
    </row>
    <row r="2" spans="2:30" ht="15" customHeight="1">
      <c r="B2" s="8" t="s">
        <v>569</v>
      </c>
      <c r="H2" s="4" t="s">
        <v>60</v>
      </c>
      <c r="I2" s="92" t="s">
        <v>43</v>
      </c>
      <c r="J2" s="92"/>
      <c r="K2" s="92"/>
      <c r="M2" s="54"/>
      <c r="N2" s="69"/>
      <c r="O2" s="99" t="s">
        <v>591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69"/>
      <c r="AC2" s="7"/>
      <c r="AD2" s="7"/>
    </row>
    <row r="3" spans="13:105" ht="8.25" customHeight="1">
      <c r="M3" s="54"/>
      <c r="N3" s="6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69"/>
      <c r="AC3" s="7"/>
      <c r="AD3" s="7"/>
      <c r="DA3" s="7" t="s">
        <v>590</v>
      </c>
    </row>
    <row r="4" spans="2:106" ht="15" customHeight="1">
      <c r="B4" s="8" t="s">
        <v>568</v>
      </c>
      <c r="H4" s="4" t="s">
        <v>60</v>
      </c>
      <c r="I4" s="91" t="s">
        <v>559</v>
      </c>
      <c r="J4" s="91"/>
      <c r="K4" s="91"/>
      <c r="M4" s="54"/>
      <c r="N4" s="6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69"/>
      <c r="DA4" s="7"/>
      <c r="DB4" s="7"/>
    </row>
    <row r="5" spans="105:106" ht="12.75">
      <c r="DA5" s="7"/>
      <c r="DB5" s="7"/>
    </row>
    <row r="6" spans="105:106" ht="12.75">
      <c r="DA6" s="7"/>
      <c r="DB6" s="7"/>
    </row>
    <row r="7" spans="2:106" s="9" customFormat="1" ht="15" customHeight="1">
      <c r="B7" s="93" t="s"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  <c r="AB7" s="10"/>
      <c r="DA7" s="11"/>
      <c r="DB7" s="11"/>
    </row>
    <row r="8" spans="2:106" s="9" customFormat="1" ht="15" customHeight="1">
      <c r="B8" s="12"/>
      <c r="C8" s="13"/>
      <c r="D8" s="13"/>
      <c r="E8" s="13"/>
      <c r="F8" s="13"/>
      <c r="G8" s="13"/>
      <c r="H8" s="13"/>
      <c r="I8" s="13"/>
      <c r="J8" s="14"/>
      <c r="K8" s="13"/>
      <c r="L8" s="13"/>
      <c r="M8" s="13"/>
      <c r="N8" s="13"/>
      <c r="O8" s="15"/>
      <c r="P8" s="13"/>
      <c r="Q8" s="13"/>
      <c r="R8" s="13"/>
      <c r="S8" s="13"/>
      <c r="T8" s="13"/>
      <c r="U8" s="13"/>
      <c r="V8" s="13"/>
      <c r="W8" s="13"/>
      <c r="X8" s="13"/>
      <c r="Y8" s="13"/>
      <c r="Z8" s="16"/>
      <c r="AB8" s="10"/>
      <c r="DA8" s="11"/>
      <c r="DB8" s="11"/>
    </row>
    <row r="9" spans="2:106" s="9" customFormat="1" ht="15" customHeight="1">
      <c r="B9" s="12"/>
      <c r="C9" s="93" t="s">
        <v>55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  <c r="O9" s="17"/>
      <c r="P9" s="13"/>
      <c r="Q9" s="96" t="s">
        <v>56</v>
      </c>
      <c r="R9" s="97"/>
      <c r="S9" s="97"/>
      <c r="T9" s="97"/>
      <c r="U9" s="97"/>
      <c r="V9" s="97"/>
      <c r="W9" s="97"/>
      <c r="X9" s="97"/>
      <c r="Y9" s="98"/>
      <c r="Z9" s="16"/>
      <c r="AB9" s="10"/>
      <c r="DA9" s="11" t="s">
        <v>42</v>
      </c>
      <c r="DB9" s="11" t="s">
        <v>567</v>
      </c>
    </row>
    <row r="10" spans="2:106" s="9" customFormat="1" ht="15" customHeight="1">
      <c r="B10" s="12"/>
      <c r="C10" s="12"/>
      <c r="D10" s="13"/>
      <c r="E10" s="13"/>
      <c r="F10" s="13"/>
      <c r="G10" s="13"/>
      <c r="H10" s="13"/>
      <c r="I10" s="13"/>
      <c r="J10" s="14"/>
      <c r="K10" s="13"/>
      <c r="L10" s="13"/>
      <c r="M10" s="13"/>
      <c r="N10" s="16"/>
      <c r="O10" s="18"/>
      <c r="P10" s="13"/>
      <c r="Q10" s="19"/>
      <c r="R10" s="20"/>
      <c r="S10" s="20"/>
      <c r="T10" s="20"/>
      <c r="U10" s="20"/>
      <c r="V10" s="20"/>
      <c r="W10" s="20"/>
      <c r="X10" s="20"/>
      <c r="Y10" s="21"/>
      <c r="Z10" s="16"/>
      <c r="AB10" s="10"/>
      <c r="DA10" s="11"/>
      <c r="DB10" s="11"/>
    </row>
    <row r="11" spans="2:106" s="9" customFormat="1" ht="15" customHeight="1">
      <c r="B11" s="12"/>
      <c r="C11" s="12"/>
      <c r="D11" s="22" t="s">
        <v>31</v>
      </c>
      <c r="E11" s="22" t="s">
        <v>1</v>
      </c>
      <c r="F11" s="22" t="s">
        <v>2</v>
      </c>
      <c r="G11" s="22" t="s">
        <v>39</v>
      </c>
      <c r="H11" s="22"/>
      <c r="I11" s="100" t="s">
        <v>3</v>
      </c>
      <c r="J11" s="100"/>
      <c r="K11" s="100"/>
      <c r="L11" s="22"/>
      <c r="M11" s="22" t="s">
        <v>39</v>
      </c>
      <c r="N11" s="16"/>
      <c r="O11" s="18"/>
      <c r="P11" s="13"/>
      <c r="Q11" s="12"/>
      <c r="R11" s="23" t="s">
        <v>21</v>
      </c>
      <c r="S11" s="24" t="s">
        <v>424</v>
      </c>
      <c r="T11" s="24" t="s">
        <v>22</v>
      </c>
      <c r="U11" s="24" t="s">
        <v>23</v>
      </c>
      <c r="V11" s="24" t="s">
        <v>24</v>
      </c>
      <c r="W11" s="24" t="s">
        <v>25</v>
      </c>
      <c r="X11" s="25" t="s">
        <v>425</v>
      </c>
      <c r="Y11" s="16"/>
      <c r="Z11" s="16"/>
      <c r="AB11" s="10"/>
      <c r="DA11" s="26" t="s">
        <v>288</v>
      </c>
      <c r="DB11" s="27" t="s">
        <v>428</v>
      </c>
    </row>
    <row r="12" spans="2:106" s="9" customFormat="1" ht="15" customHeight="1"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/>
      <c r="O12" s="18"/>
      <c r="P12" s="13"/>
      <c r="Q12" s="12"/>
      <c r="R12" s="28" t="str">
        <f>VLOOKUP(1,'Dummy Table'!O4:P7,2,FALSE)</f>
        <v>Czech Republic</v>
      </c>
      <c r="S12" s="29">
        <f>SUM(T12:V12)</f>
        <v>0</v>
      </c>
      <c r="T12" s="29">
        <f>SUMIF('Dummy Table'!B$4:B$7,'Euro 2008 Schedule'!R12,'Dummy Table'!C$4:C$7)</f>
        <v>0</v>
      </c>
      <c r="U12" s="29">
        <f>SUMIF('Dummy Table'!B$4:B$7,'Euro 2008 Schedule'!R12,'Dummy Table'!D$4:D$7)</f>
        <v>0</v>
      </c>
      <c r="V12" s="29">
        <f>SUMIF('Dummy Table'!B$4:B$7,'Euro 2008 Schedule'!R12,'Dummy Table'!E$4:E$7)</f>
        <v>0</v>
      </c>
      <c r="W12" s="29" t="str">
        <f>CONCATENATE(SUMIF('Dummy Table'!B$4:B$7,'Euro 2008 Schedule'!R12,'Dummy Table'!F$4:F$7)," - ",SUMIF('Dummy Table'!B$4:B$7,'Euro 2008 Schedule'!R12,'Dummy Table'!G$4:G$7))</f>
        <v>0 - 0</v>
      </c>
      <c r="X12" s="30">
        <f>SUMIF('Dummy Table'!B$4:B$7,'Euro 2008 Schedule'!R12,'Dummy Table'!I$4:I$7)</f>
        <v>0</v>
      </c>
      <c r="Y12" s="16"/>
      <c r="Z12" s="16"/>
      <c r="AB12" s="10"/>
      <c r="DA12" s="26" t="s">
        <v>394</v>
      </c>
      <c r="DB12" s="27" t="s">
        <v>429</v>
      </c>
    </row>
    <row r="13" spans="2:106" s="9" customFormat="1" ht="15" customHeight="1">
      <c r="B13" s="12"/>
      <c r="C13" s="12"/>
      <c r="D13" s="14">
        <v>1</v>
      </c>
      <c r="E13" s="31">
        <f>F13</f>
        <v>39606.75</v>
      </c>
      <c r="F13" s="2">
        <f>Timezone!J2</f>
        <v>39606.75</v>
      </c>
      <c r="G13" s="14" t="str">
        <f>INDEX(Language!B$2:BI$80,SUMIF('Row and Column'!A$5:A$21,"Switzerland",'Row and Column'!B$5:B$21),SUMIF('Row and Column'!D$5:D$75,I$2,'Row and Column'!E$5:E$75))</f>
        <v>Switzerland</v>
      </c>
      <c r="H13" s="13"/>
      <c r="I13" s="53"/>
      <c r="J13" s="32" t="s">
        <v>4</v>
      </c>
      <c r="K13" s="53"/>
      <c r="L13" s="13"/>
      <c r="M13" s="14" t="str">
        <f>INDEX(Language!B$2:BI$80,SUMIF('Row and Column'!A$5:A$21,"Czech Republic",'Row and Column'!B$5:B$21),SUMIF('Row and Column'!D$5:D$75,I$2,'Row and Column'!E$5:E$75))</f>
        <v>Czech Republic</v>
      </c>
      <c r="N13" s="16"/>
      <c r="O13" s="18"/>
      <c r="P13" s="13"/>
      <c r="Q13" s="12"/>
      <c r="R13" s="33" t="str">
        <f>VLOOKUP(2,'Dummy Table'!O4:P7,2,FALSE)</f>
        <v>Portugal</v>
      </c>
      <c r="S13" s="14">
        <f>SUM(T13:V13)</f>
        <v>0</v>
      </c>
      <c r="T13" s="14">
        <f>SUMIF('Dummy Table'!B$4:B$7,'Euro 2008 Schedule'!R13,'Dummy Table'!C$4:C$7)</f>
        <v>0</v>
      </c>
      <c r="U13" s="14">
        <f>SUMIF('Dummy Table'!B$4:B$7,'Euro 2008 Schedule'!R13,'Dummy Table'!D$4:D$7)</f>
        <v>0</v>
      </c>
      <c r="V13" s="14">
        <f>SUMIF('Dummy Table'!B$4:B$7,'Euro 2008 Schedule'!R13,'Dummy Table'!E$4:E$7)</f>
        <v>0</v>
      </c>
      <c r="W13" s="14" t="str">
        <f>CONCATENATE(SUMIF('Dummy Table'!B$4:B$7,'Euro 2008 Schedule'!R13,'Dummy Table'!F$4:F$7)," - ",SUMIF('Dummy Table'!B$4:B$7,'Euro 2008 Schedule'!R13,'Dummy Table'!G$4:G$7))</f>
        <v>0 - 0</v>
      </c>
      <c r="X13" s="34">
        <f>SUMIF('Dummy Table'!B$4:B$7,'Euro 2008 Schedule'!R13,'Dummy Table'!I$4:I$7)</f>
        <v>0</v>
      </c>
      <c r="Y13" s="16"/>
      <c r="Z13" s="16"/>
      <c r="AB13" s="10"/>
      <c r="AE13" s="1"/>
      <c r="DA13" s="26" t="s">
        <v>374</v>
      </c>
      <c r="DB13" s="27" t="s">
        <v>430</v>
      </c>
    </row>
    <row r="14" spans="2:106" s="9" customFormat="1" ht="15" customHeight="1">
      <c r="B14" s="12"/>
      <c r="C14" s="12"/>
      <c r="D14" s="14">
        <v>2</v>
      </c>
      <c r="E14" s="31">
        <f aca="true" t="shared" si="0" ref="E14:E36">F14</f>
        <v>39606.864583333336</v>
      </c>
      <c r="F14" s="2">
        <f>Timezone!J3</f>
        <v>39606.864583333336</v>
      </c>
      <c r="G14" s="14" t="str">
        <f>INDEX(Language!B$2:BI$80,SUMIF('Row and Column'!A$5:A$21,"Portugal",'Row and Column'!B$5:B$21),SUMIF('Row and Column'!D$5:D$75,I$2,'Row and Column'!E$5:E$75))</f>
        <v>Portugal</v>
      </c>
      <c r="H14" s="13"/>
      <c r="I14" s="53"/>
      <c r="J14" s="32" t="s">
        <v>4</v>
      </c>
      <c r="K14" s="53"/>
      <c r="L14" s="13"/>
      <c r="M14" s="14" t="str">
        <f>INDEX(Language!B$2:BI$80,SUMIF('Row and Column'!A$5:A$21,"Turkey",'Row and Column'!B$5:B$21),SUMIF('Row and Column'!D$5:D$75,I$2,'Row and Column'!E$5:E$75))</f>
        <v>Turkey</v>
      </c>
      <c r="N14" s="16"/>
      <c r="O14" s="18"/>
      <c r="P14" s="13"/>
      <c r="Q14" s="12"/>
      <c r="R14" s="33" t="str">
        <f>VLOOKUP(3,'Dummy Table'!O4:P7,2,FALSE)</f>
        <v>Turkey</v>
      </c>
      <c r="S14" s="14">
        <f>SUM(T14:V14)</f>
        <v>0</v>
      </c>
      <c r="T14" s="14">
        <f>SUMIF('Dummy Table'!B$4:B$7,'Euro 2008 Schedule'!R14,'Dummy Table'!C$4:C$7)</f>
        <v>0</v>
      </c>
      <c r="U14" s="14">
        <f>SUMIF('Dummy Table'!B$4:B$7,'Euro 2008 Schedule'!R14,'Dummy Table'!D$4:D$7)</f>
        <v>0</v>
      </c>
      <c r="V14" s="14">
        <f>SUMIF('Dummy Table'!B$4:B$7,'Euro 2008 Schedule'!R14,'Dummy Table'!E$4:E$7)</f>
        <v>0</v>
      </c>
      <c r="W14" s="14" t="str">
        <f>CONCATENATE(SUMIF('Dummy Table'!B$4:B$7,'Euro 2008 Schedule'!R14,'Dummy Table'!F$4:F$7)," - ",SUMIF('Dummy Table'!B$4:B$7,'Euro 2008 Schedule'!R14,'Dummy Table'!G$4:G$7))</f>
        <v>0 - 0</v>
      </c>
      <c r="X14" s="34">
        <f>SUMIF('Dummy Table'!B$4:B$7,'Euro 2008 Schedule'!R14,'Dummy Table'!I$4:I$7)</f>
        <v>0</v>
      </c>
      <c r="Y14" s="16"/>
      <c r="Z14" s="16"/>
      <c r="AB14" s="10"/>
      <c r="AE14" s="1"/>
      <c r="DA14" s="26" t="s">
        <v>305</v>
      </c>
      <c r="DB14" s="27" t="s">
        <v>431</v>
      </c>
    </row>
    <row r="15" spans="2:106" s="9" customFormat="1" ht="15" customHeight="1">
      <c r="B15" s="12"/>
      <c r="C15" s="12"/>
      <c r="D15" s="14">
        <v>3</v>
      </c>
      <c r="E15" s="31">
        <f t="shared" si="0"/>
        <v>39607.75</v>
      </c>
      <c r="F15" s="2">
        <f>Timezone!J4</f>
        <v>39607.75</v>
      </c>
      <c r="G15" s="14" t="str">
        <f>INDEX(Language!B$2:BI$80,SUMIF('Row and Column'!A$5:A$21,"Austria",'Row and Column'!B$5:B$21),SUMIF('Row and Column'!D$5:D$75,I$2,'Row and Column'!E$5:E$75))</f>
        <v>Austria</v>
      </c>
      <c r="H15" s="13"/>
      <c r="I15" s="53"/>
      <c r="J15" s="32" t="s">
        <v>4</v>
      </c>
      <c r="K15" s="53"/>
      <c r="L15" s="13"/>
      <c r="M15" s="14" t="str">
        <f>INDEX(Language!B$2:BI$80,SUMIF('Row and Column'!A$5:A$21,"Croatia",'Row and Column'!B$5:B$21),SUMIF('Row and Column'!D$5:D$75,I$2,'Row and Column'!E$5:E$75))</f>
        <v>Croatia</v>
      </c>
      <c r="N15" s="16"/>
      <c r="O15" s="18"/>
      <c r="P15" s="13"/>
      <c r="Q15" s="12"/>
      <c r="R15" s="35" t="str">
        <f>VLOOKUP(4,'Dummy Table'!O4:P7,2,FALSE)</f>
        <v>Switzerland</v>
      </c>
      <c r="S15" s="36">
        <f>SUM(T15:V15)</f>
        <v>0</v>
      </c>
      <c r="T15" s="36">
        <f>SUMIF('Dummy Table'!B$4:B$7,'Euro 2008 Schedule'!R15,'Dummy Table'!C$4:C$7)</f>
        <v>0</v>
      </c>
      <c r="U15" s="36">
        <f>SUMIF('Dummy Table'!B$4:B$7,'Euro 2008 Schedule'!R15,'Dummy Table'!D$4:D$7)</f>
        <v>0</v>
      </c>
      <c r="V15" s="36">
        <f>SUMIF('Dummy Table'!B$4:B$7,'Euro 2008 Schedule'!R15,'Dummy Table'!E$4:E$7)</f>
        <v>0</v>
      </c>
      <c r="W15" s="36" t="str">
        <f>CONCATENATE(SUMIF('Dummy Table'!B$4:B$7,'Euro 2008 Schedule'!R15,'Dummy Table'!F$4:F$7)," - ",SUMIF('Dummy Table'!B$4:B$7,'Euro 2008 Schedule'!R15,'Dummy Table'!G$4:G$7))</f>
        <v>0 - 0</v>
      </c>
      <c r="X15" s="37">
        <f>SUMIF('Dummy Table'!B$4:B$7,'Euro 2008 Schedule'!R15,'Dummy Table'!I$4:I$7)</f>
        <v>0</v>
      </c>
      <c r="Y15" s="16"/>
      <c r="Z15" s="16"/>
      <c r="AB15" s="10"/>
      <c r="AE15" s="1"/>
      <c r="DA15" s="26" t="s">
        <v>411</v>
      </c>
      <c r="DB15" s="27" t="s">
        <v>432</v>
      </c>
    </row>
    <row r="16" spans="2:106" s="9" customFormat="1" ht="15" customHeight="1">
      <c r="B16" s="12"/>
      <c r="C16" s="12"/>
      <c r="D16" s="14">
        <v>4</v>
      </c>
      <c r="E16" s="31">
        <f t="shared" si="0"/>
        <v>39607.864583333336</v>
      </c>
      <c r="F16" s="2">
        <f>Timezone!J5</f>
        <v>39607.864583333336</v>
      </c>
      <c r="G16" s="14" t="str">
        <f>INDEX(Language!B$2:BI$80,SUMIF('Row and Column'!A$5:A$21,"Germany",'Row and Column'!B$5:B$21),SUMIF('Row and Column'!D$5:D$75,I$2,'Row and Column'!E$5:E$75))</f>
        <v>Germany</v>
      </c>
      <c r="H16" s="13"/>
      <c r="I16" s="53"/>
      <c r="J16" s="32" t="s">
        <v>4</v>
      </c>
      <c r="K16" s="53"/>
      <c r="L16" s="13"/>
      <c r="M16" s="14" t="str">
        <f>INDEX(Language!B$2:BI$80,SUMIF('Row and Column'!A$5:A$21,"Poland",'Row and Column'!B$5:B$21),SUMIF('Row and Column'!D$5:D$75,I$2,'Row and Column'!E$5:E$75))</f>
        <v>Poland</v>
      </c>
      <c r="N16" s="16"/>
      <c r="O16" s="18"/>
      <c r="P16" s="13"/>
      <c r="Q16" s="12"/>
      <c r="R16" s="13"/>
      <c r="S16" s="13"/>
      <c r="T16" s="13"/>
      <c r="U16" s="13"/>
      <c r="V16" s="13"/>
      <c r="W16" s="13"/>
      <c r="X16" s="13"/>
      <c r="Y16" s="16"/>
      <c r="Z16" s="16"/>
      <c r="AB16" s="10"/>
      <c r="AE16" s="1"/>
      <c r="DA16" s="26" t="s">
        <v>356</v>
      </c>
      <c r="DB16" s="27" t="s">
        <v>433</v>
      </c>
    </row>
    <row r="17" spans="2:106" s="9" customFormat="1" ht="15" customHeight="1">
      <c r="B17" s="12"/>
      <c r="C17" s="12"/>
      <c r="D17" s="14">
        <v>5</v>
      </c>
      <c r="E17" s="31">
        <f t="shared" si="0"/>
        <v>39608.75</v>
      </c>
      <c r="F17" s="2">
        <f>Timezone!J6</f>
        <v>39608.75</v>
      </c>
      <c r="G17" s="14" t="str">
        <f>INDEX(Language!B$2:BI$80,SUMIF('Row and Column'!A$5:A$21,"Romania",'Row and Column'!B$5:B$21),SUMIF('Row and Column'!D$5:D$75,I$2,'Row and Column'!E$5:E$75))</f>
        <v>Romania</v>
      </c>
      <c r="H17" s="13"/>
      <c r="I17" s="53"/>
      <c r="J17" s="32" t="s">
        <v>4</v>
      </c>
      <c r="K17" s="53"/>
      <c r="L17" s="13"/>
      <c r="M17" s="14" t="str">
        <f>INDEX(Language!B$2:BI$80,SUMIF('Row and Column'!A$5:A$21,"France",'Row and Column'!B$5:B$21),SUMIF('Row and Column'!D$5:D$75,I$2,'Row and Column'!E$5:E$75))</f>
        <v>France</v>
      </c>
      <c r="N17" s="16"/>
      <c r="O17" s="18"/>
      <c r="P17" s="13"/>
      <c r="Q17" s="12"/>
      <c r="Y17" s="16"/>
      <c r="Z17" s="16"/>
      <c r="AB17" s="10"/>
      <c r="AE17" s="1"/>
      <c r="DA17" s="26" t="s">
        <v>222</v>
      </c>
      <c r="DB17" s="27" t="s">
        <v>434</v>
      </c>
    </row>
    <row r="18" spans="2:106" s="9" customFormat="1" ht="15" customHeight="1">
      <c r="B18" s="12"/>
      <c r="C18" s="12"/>
      <c r="D18" s="14">
        <v>6</v>
      </c>
      <c r="E18" s="31">
        <f t="shared" si="0"/>
        <v>39608.864583333336</v>
      </c>
      <c r="F18" s="2">
        <f>Timezone!J7</f>
        <v>39608.864583333336</v>
      </c>
      <c r="G18" s="14" t="str">
        <f>INDEX(Language!B$2:BI$80,SUMIF('Row and Column'!A$5:A$21,"Netherlands",'Row and Column'!B$5:B$21),SUMIF('Row and Column'!D$5:D$75,I$2,'Row and Column'!E$5:E$75))</f>
        <v>Netherlands</v>
      </c>
      <c r="H18" s="13"/>
      <c r="I18" s="53"/>
      <c r="J18" s="32" t="s">
        <v>4</v>
      </c>
      <c r="K18" s="53"/>
      <c r="L18" s="13"/>
      <c r="M18" s="14" t="str">
        <f>INDEX(Language!B$2:BI$80,SUMIF('Row and Column'!A$5:A$21,"Italy",'Row and Column'!B$5:B$21),SUMIF('Row and Column'!D$5:D$75,I$2,'Row and Column'!E$5:E$75))</f>
        <v>Italy</v>
      </c>
      <c r="N18" s="16"/>
      <c r="O18" s="18"/>
      <c r="P18" s="13"/>
      <c r="Q18" s="12"/>
      <c r="R18" s="23" t="s">
        <v>26</v>
      </c>
      <c r="S18" s="24" t="s">
        <v>424</v>
      </c>
      <c r="T18" s="24" t="s">
        <v>22</v>
      </c>
      <c r="U18" s="24" t="s">
        <v>23</v>
      </c>
      <c r="V18" s="24" t="s">
        <v>24</v>
      </c>
      <c r="W18" s="24" t="s">
        <v>25</v>
      </c>
      <c r="X18" s="25" t="s">
        <v>425</v>
      </c>
      <c r="Y18" s="16"/>
      <c r="Z18" s="16"/>
      <c r="AB18" s="10"/>
      <c r="AE18" s="1"/>
      <c r="DA18" s="26" t="s">
        <v>212</v>
      </c>
      <c r="DB18" s="27" t="s">
        <v>435</v>
      </c>
    </row>
    <row r="19" spans="2:106" s="9" customFormat="1" ht="15" customHeight="1">
      <c r="B19" s="12"/>
      <c r="C19" s="12"/>
      <c r="D19" s="14">
        <v>7</v>
      </c>
      <c r="E19" s="31">
        <f t="shared" si="0"/>
        <v>39609.75</v>
      </c>
      <c r="F19" s="2">
        <f>Timezone!J8</f>
        <v>39609.75</v>
      </c>
      <c r="G19" s="14" t="str">
        <f>INDEX(Language!B$2:BI$80,SUMIF('Row and Column'!A$5:A$21,"Spain",'Row and Column'!B$5:B$21),SUMIF('Row and Column'!D$5:D$75,I$2,'Row and Column'!E$5:E$75))</f>
        <v>Spain</v>
      </c>
      <c r="H19" s="13"/>
      <c r="I19" s="53"/>
      <c r="J19" s="32" t="s">
        <v>4</v>
      </c>
      <c r="K19" s="53"/>
      <c r="L19" s="13"/>
      <c r="M19" s="14" t="str">
        <f>INDEX(Language!B$2:BI$80,SUMIF('Row and Column'!A$5:A$21,"Russia",'Row and Column'!B$5:B$21),SUMIF('Row and Column'!D$5:D$75,I$2,'Row and Column'!E$5:E$75))</f>
        <v>Russia</v>
      </c>
      <c r="N19" s="16"/>
      <c r="O19" s="18"/>
      <c r="P19" s="13"/>
      <c r="Q19" s="12"/>
      <c r="R19" s="28" t="str">
        <f>VLOOKUP(1,'Dummy Table'!O11:P14,2,FALSE)</f>
        <v>Croatia</v>
      </c>
      <c r="S19" s="29">
        <f>SUM(T19:V19)</f>
        <v>0</v>
      </c>
      <c r="T19" s="29">
        <f>SUMIF('Dummy Table'!B$11:B$14,'Euro 2008 Schedule'!R19,'Dummy Table'!C$11:C$14)</f>
        <v>0</v>
      </c>
      <c r="U19" s="29">
        <f>SUMIF('Dummy Table'!B$11:B$14,'Euro 2008 Schedule'!R19,'Dummy Table'!D$11:D$14)</f>
        <v>0</v>
      </c>
      <c r="V19" s="29">
        <f>SUMIF('Dummy Table'!B$11:B$14,'Euro 2008 Schedule'!R19,'Dummy Table'!E$11:E$14)</f>
        <v>0</v>
      </c>
      <c r="W19" s="29" t="str">
        <f>CONCATENATE(SUMIF('Dummy Table'!B$11:B$14,'Euro 2008 Schedule'!R19,'Dummy Table'!F$11:F$14)," - ",SUMIF('Dummy Table'!B$11:B$14,'Euro 2008 Schedule'!R19,'Dummy Table'!G$11:G$14))</f>
        <v>0 - 0</v>
      </c>
      <c r="X19" s="30">
        <f>SUMIF('Dummy Table'!B$11:B$14,'Euro 2008 Schedule'!R19,'Dummy Table'!I$11:I$14)</f>
        <v>0</v>
      </c>
      <c r="Y19" s="16"/>
      <c r="Z19" s="16"/>
      <c r="AB19" s="10"/>
      <c r="AE19" s="1"/>
      <c r="DA19" s="38" t="s">
        <v>43</v>
      </c>
      <c r="DB19" s="27" t="s">
        <v>436</v>
      </c>
    </row>
    <row r="20" spans="2:106" s="9" customFormat="1" ht="15" customHeight="1">
      <c r="B20" s="12"/>
      <c r="C20" s="12"/>
      <c r="D20" s="14">
        <v>8</v>
      </c>
      <c r="E20" s="31">
        <f t="shared" si="0"/>
        <v>39609.864583333336</v>
      </c>
      <c r="F20" s="2">
        <f>Timezone!J9</f>
        <v>39609.864583333336</v>
      </c>
      <c r="G20" s="14" t="str">
        <f>INDEX(Language!B$2:BI$80,SUMIF('Row and Column'!A$5:A$21,"Greece",'Row and Column'!B$5:B$21),SUMIF('Row and Column'!D$5:D$75,I$2,'Row and Column'!E$5:E$75))</f>
        <v>Greece</v>
      </c>
      <c r="H20" s="13"/>
      <c r="I20" s="53"/>
      <c r="J20" s="32" t="s">
        <v>4</v>
      </c>
      <c r="K20" s="53"/>
      <c r="L20" s="13"/>
      <c r="M20" s="14" t="str">
        <f>INDEX(Language!B$2:BI$80,SUMIF('Row and Column'!A$5:A$21,"Sweden",'Row and Column'!B$5:B$21),SUMIF('Row and Column'!D$5:D$75,I$2,'Row and Column'!E$5:E$75))</f>
        <v>Sweden</v>
      </c>
      <c r="N20" s="16"/>
      <c r="O20" s="18"/>
      <c r="P20" s="13"/>
      <c r="Q20" s="12"/>
      <c r="R20" s="33" t="str">
        <f>VLOOKUP(2,'Dummy Table'!O11:P14,2,FALSE)</f>
        <v>Germany</v>
      </c>
      <c r="S20" s="14">
        <f>SUM(T20:V20)</f>
        <v>0</v>
      </c>
      <c r="T20" s="14">
        <f>SUMIF('Dummy Table'!B$11:B$14,'Euro 2008 Schedule'!R20,'Dummy Table'!C$11:C$14)</f>
        <v>0</v>
      </c>
      <c r="U20" s="14">
        <f>SUMIF('Dummy Table'!B$11:B$14,'Euro 2008 Schedule'!R20,'Dummy Table'!D$11:D$14)</f>
        <v>0</v>
      </c>
      <c r="V20" s="14">
        <f>SUMIF('Dummy Table'!B$11:B$14,'Euro 2008 Schedule'!R20,'Dummy Table'!E$11:E$14)</f>
        <v>0</v>
      </c>
      <c r="W20" s="14" t="str">
        <f>CONCATENATE(SUMIF('Dummy Table'!B$11:B$14,'Euro 2008 Schedule'!R20,'Dummy Table'!F$11:F$14)," - ",SUMIF('Dummy Table'!B$11:B$14,'Euro 2008 Schedule'!R20,'Dummy Table'!G$11:G$14))</f>
        <v>0 - 0</v>
      </c>
      <c r="X20" s="34">
        <f>SUMIF('Dummy Table'!B$11:B$14,'Euro 2008 Schedule'!R20,'Dummy Table'!I$11:I$14)</f>
        <v>0</v>
      </c>
      <c r="Y20" s="16"/>
      <c r="Z20" s="16"/>
      <c r="AB20" s="10"/>
      <c r="AE20" s="1"/>
      <c r="DA20" s="26" t="s">
        <v>263</v>
      </c>
      <c r="DB20" s="27" t="s">
        <v>437</v>
      </c>
    </row>
    <row r="21" spans="2:106" s="9" customFormat="1" ht="15" customHeight="1">
      <c r="B21" s="12"/>
      <c r="C21" s="12"/>
      <c r="D21" s="14">
        <v>9</v>
      </c>
      <c r="E21" s="31">
        <f t="shared" si="0"/>
        <v>39610.75</v>
      </c>
      <c r="F21" s="2">
        <f>Timezone!J10</f>
        <v>39610.75</v>
      </c>
      <c r="G21" s="14" t="str">
        <f>INDEX(Language!B$2:BI$80,SUMIF('Row and Column'!A$5:A$21,"Czech Republic",'Row and Column'!B$5:B$21),SUMIF('Row and Column'!D$5:D$75,I$2,'Row and Column'!E$5:E$75))</f>
        <v>Czech Republic</v>
      </c>
      <c r="H21" s="13"/>
      <c r="I21" s="53"/>
      <c r="J21" s="32" t="s">
        <v>4</v>
      </c>
      <c r="K21" s="53"/>
      <c r="L21" s="13"/>
      <c r="M21" s="14" t="str">
        <f>INDEX(Language!B$2:BI$80,SUMIF('Row and Column'!A$5:A$21,"Portugal",'Row and Column'!B$5:B$21),SUMIF('Row and Column'!D$5:D$75,I$2,'Row and Column'!E$5:E$75))</f>
        <v>Portugal</v>
      </c>
      <c r="N21" s="16"/>
      <c r="O21" s="18"/>
      <c r="P21" s="13"/>
      <c r="Q21" s="12"/>
      <c r="R21" s="33" t="str">
        <f>VLOOKUP(3,'Dummy Table'!O11:P14,2,FALSE)</f>
        <v>Poland</v>
      </c>
      <c r="S21" s="14">
        <f>SUM(T21:V21)</f>
        <v>0</v>
      </c>
      <c r="T21" s="14">
        <f>SUMIF('Dummy Table'!B$11:B$14,'Euro 2008 Schedule'!R21,'Dummy Table'!C$11:C$14)</f>
        <v>0</v>
      </c>
      <c r="U21" s="14">
        <f>SUMIF('Dummy Table'!B$11:B$14,'Euro 2008 Schedule'!R21,'Dummy Table'!D$11:D$14)</f>
        <v>0</v>
      </c>
      <c r="V21" s="14">
        <f>SUMIF('Dummy Table'!B$11:B$14,'Euro 2008 Schedule'!R21,'Dummy Table'!E$11:E$14)</f>
        <v>0</v>
      </c>
      <c r="W21" s="14" t="str">
        <f>CONCATENATE(SUMIF('Dummy Table'!B$11:B$14,'Euro 2008 Schedule'!R21,'Dummy Table'!F$11:F$14)," - ",SUMIF('Dummy Table'!B$11:B$14,'Euro 2008 Schedule'!R21,'Dummy Table'!G$11:G$14))</f>
        <v>0 - 0</v>
      </c>
      <c r="X21" s="34">
        <f>SUMIF('Dummy Table'!B$11:B$14,'Euro 2008 Schedule'!R21,'Dummy Table'!I$11:I$14)</f>
        <v>0</v>
      </c>
      <c r="Y21" s="16"/>
      <c r="Z21" s="16"/>
      <c r="AB21" s="10"/>
      <c r="AE21" s="1"/>
      <c r="DA21" s="26" t="s">
        <v>19</v>
      </c>
      <c r="DB21" s="27" t="s">
        <v>438</v>
      </c>
    </row>
    <row r="22" spans="2:106" s="9" customFormat="1" ht="15" customHeight="1">
      <c r="B22" s="12"/>
      <c r="C22" s="12"/>
      <c r="D22" s="14">
        <v>10</v>
      </c>
      <c r="E22" s="31">
        <f t="shared" si="0"/>
        <v>39610.864583333336</v>
      </c>
      <c r="F22" s="2">
        <f>Timezone!J11</f>
        <v>39610.864583333336</v>
      </c>
      <c r="G22" s="14" t="str">
        <f>INDEX(Language!B$2:BI$80,SUMIF('Row and Column'!A$5:A$21,"Switzerland",'Row and Column'!B$5:B$21),SUMIF('Row and Column'!D$5:D$75,I$2,'Row and Column'!E$5:E$75))</f>
        <v>Switzerland</v>
      </c>
      <c r="H22" s="13"/>
      <c r="I22" s="53"/>
      <c r="J22" s="32" t="s">
        <v>4</v>
      </c>
      <c r="K22" s="53"/>
      <c r="L22" s="13"/>
      <c r="M22" s="14" t="str">
        <f>INDEX(Language!B$2:BI$80,SUMIF('Row and Column'!A$5:A$21,"Turkey",'Row and Column'!B$5:B$21),SUMIF('Row and Column'!D$5:D$75,I$2,'Row and Column'!E$5:E$75))</f>
        <v>Turkey</v>
      </c>
      <c r="N22" s="16"/>
      <c r="O22" s="18"/>
      <c r="P22" s="13"/>
      <c r="Q22" s="12"/>
      <c r="R22" s="35" t="str">
        <f>VLOOKUP(4,'Dummy Table'!O11:P14,2,FALSE)</f>
        <v>Austria</v>
      </c>
      <c r="S22" s="36">
        <f>SUM(T22:V22)</f>
        <v>0</v>
      </c>
      <c r="T22" s="36">
        <f>SUMIF('Dummy Table'!B$11:B$14,'Euro 2008 Schedule'!R22,'Dummy Table'!C$11:C$14)</f>
        <v>0</v>
      </c>
      <c r="U22" s="36">
        <f>SUMIF('Dummy Table'!B$11:B$14,'Euro 2008 Schedule'!R22,'Dummy Table'!D$11:D$14)</f>
        <v>0</v>
      </c>
      <c r="V22" s="36">
        <f>SUMIF('Dummy Table'!B$11:B$14,'Euro 2008 Schedule'!R22,'Dummy Table'!E$11:E$14)</f>
        <v>0</v>
      </c>
      <c r="W22" s="36" t="str">
        <f>CONCATENATE(SUMIF('Dummy Table'!B$11:B$14,'Euro 2008 Schedule'!R22,'Dummy Table'!F$11:F$14)," - ",SUMIF('Dummy Table'!B$11:B$14,'Euro 2008 Schedule'!R22,'Dummy Table'!G$11:G$14))</f>
        <v>0 - 0</v>
      </c>
      <c r="X22" s="37">
        <f>SUMIF('Dummy Table'!B$11:B$14,'Euro 2008 Schedule'!R22,'Dummy Table'!I$11:I$14)</f>
        <v>0</v>
      </c>
      <c r="Y22" s="16"/>
      <c r="Z22" s="16"/>
      <c r="AB22" s="10"/>
      <c r="AE22" s="1"/>
      <c r="DA22" s="26" t="s">
        <v>106</v>
      </c>
      <c r="DB22" s="27" t="s">
        <v>439</v>
      </c>
    </row>
    <row r="23" spans="2:106" s="9" customFormat="1" ht="15" customHeight="1">
      <c r="B23" s="12"/>
      <c r="C23" s="12"/>
      <c r="D23" s="14">
        <v>11</v>
      </c>
      <c r="E23" s="31">
        <f t="shared" si="0"/>
        <v>39611.75</v>
      </c>
      <c r="F23" s="2">
        <f>Timezone!J12</f>
        <v>39611.75</v>
      </c>
      <c r="G23" s="14" t="str">
        <f>INDEX(Language!B$2:BI$80,SUMIF('Row and Column'!A$5:A$21,"Croatia",'Row and Column'!B$5:B$21),SUMIF('Row and Column'!D$5:D$75,I$2,'Row and Column'!E$5:E$75))</f>
        <v>Croatia</v>
      </c>
      <c r="H23" s="13"/>
      <c r="I23" s="53"/>
      <c r="J23" s="32" t="s">
        <v>4</v>
      </c>
      <c r="K23" s="53"/>
      <c r="L23" s="13"/>
      <c r="M23" s="14" t="str">
        <f>INDEX(Language!B$2:BI$80,SUMIF('Row and Column'!A$5:A$21,"Germany",'Row and Column'!B$5:B$21),SUMIF('Row and Column'!D$5:D$75,I$2,'Row and Column'!E$5:E$75))</f>
        <v>Germany</v>
      </c>
      <c r="N23" s="16"/>
      <c r="O23" s="18"/>
      <c r="P23" s="13"/>
      <c r="Q23" s="12"/>
      <c r="Y23" s="16"/>
      <c r="Z23" s="16"/>
      <c r="AB23" s="10"/>
      <c r="AE23" s="1"/>
      <c r="DA23" s="26" t="s">
        <v>322</v>
      </c>
      <c r="DB23" s="27" t="s">
        <v>440</v>
      </c>
    </row>
    <row r="24" spans="2:106" s="9" customFormat="1" ht="15" customHeight="1">
      <c r="B24" s="12"/>
      <c r="C24" s="12"/>
      <c r="D24" s="14">
        <v>12</v>
      </c>
      <c r="E24" s="31">
        <f t="shared" si="0"/>
        <v>39611.864583333336</v>
      </c>
      <c r="F24" s="2">
        <f>Timezone!J13</f>
        <v>39611.864583333336</v>
      </c>
      <c r="G24" s="14" t="str">
        <f>INDEX(Language!B$2:BI$80,SUMIF('Row and Column'!A$5:A$21,"Austria",'Row and Column'!B$5:B$21),SUMIF('Row and Column'!D$5:D$75,I$2,'Row and Column'!E$5:E$75))</f>
        <v>Austria</v>
      </c>
      <c r="H24" s="13"/>
      <c r="I24" s="53"/>
      <c r="J24" s="32" t="s">
        <v>4</v>
      </c>
      <c r="K24" s="53"/>
      <c r="L24" s="13"/>
      <c r="M24" s="14" t="str">
        <f>INDEX(Language!B$2:BI$80,SUMIF('Row and Column'!A$5:A$21,"Poland",'Row and Column'!B$5:B$21),SUMIF('Row and Column'!D$5:D$75,I$2,'Row and Column'!E$5:E$75))</f>
        <v>Poland</v>
      </c>
      <c r="N24" s="16"/>
      <c r="O24" s="18"/>
      <c r="P24" s="13"/>
      <c r="Q24" s="12"/>
      <c r="Y24" s="16"/>
      <c r="Z24" s="16"/>
      <c r="AB24" s="10"/>
      <c r="AE24" s="1"/>
      <c r="DA24" s="26" t="s">
        <v>190</v>
      </c>
      <c r="DB24" s="27" t="s">
        <v>441</v>
      </c>
    </row>
    <row r="25" spans="2:106" s="9" customFormat="1" ht="15" customHeight="1">
      <c r="B25" s="12"/>
      <c r="C25" s="12"/>
      <c r="D25" s="14">
        <v>13</v>
      </c>
      <c r="E25" s="31">
        <f t="shared" si="0"/>
        <v>39612.75</v>
      </c>
      <c r="F25" s="2">
        <f>Timezone!J14</f>
        <v>39612.75</v>
      </c>
      <c r="G25" s="14" t="str">
        <f>INDEX(Language!B$2:BI$80,SUMIF('Row and Column'!A$5:A$21,"Italy",'Row and Column'!B$5:B$21),SUMIF('Row and Column'!D$5:D$75,I$2,'Row and Column'!E$5:E$75))</f>
        <v>Italy</v>
      </c>
      <c r="H25" s="13"/>
      <c r="I25" s="53"/>
      <c r="J25" s="32" t="s">
        <v>4</v>
      </c>
      <c r="K25" s="53"/>
      <c r="L25" s="13"/>
      <c r="M25" s="14" t="str">
        <f>INDEX(Language!B$2:BI$80,SUMIF('Row and Column'!A$5:A$21,"Romania",'Row and Column'!B$5:B$21),SUMIF('Row and Column'!D$5:D$75,I$2,'Row and Column'!E$5:E$75))</f>
        <v>Romania</v>
      </c>
      <c r="N25" s="16"/>
      <c r="O25" s="18"/>
      <c r="P25" s="13"/>
      <c r="Q25" s="12"/>
      <c r="R25" s="23" t="s">
        <v>27</v>
      </c>
      <c r="S25" s="24" t="s">
        <v>424</v>
      </c>
      <c r="T25" s="24" t="s">
        <v>22</v>
      </c>
      <c r="U25" s="24" t="s">
        <v>23</v>
      </c>
      <c r="V25" s="24" t="s">
        <v>24</v>
      </c>
      <c r="W25" s="24" t="s">
        <v>25</v>
      </c>
      <c r="X25" s="25" t="s">
        <v>425</v>
      </c>
      <c r="Y25" s="16"/>
      <c r="Z25" s="16"/>
      <c r="AB25" s="10"/>
      <c r="AE25" s="1"/>
      <c r="DA25" s="26" t="s">
        <v>116</v>
      </c>
      <c r="DB25" s="27" t="s">
        <v>442</v>
      </c>
    </row>
    <row r="26" spans="2:106" s="9" customFormat="1" ht="15" customHeight="1">
      <c r="B26" s="12"/>
      <c r="C26" s="12"/>
      <c r="D26" s="14">
        <v>14</v>
      </c>
      <c r="E26" s="31">
        <f t="shared" si="0"/>
        <v>39612.864583333336</v>
      </c>
      <c r="F26" s="2">
        <f>Timezone!J15</f>
        <v>39612.864583333336</v>
      </c>
      <c r="G26" s="14" t="str">
        <f>INDEX(Language!B$2:BI$80,SUMIF('Row and Column'!A$5:A$21,"Netherlands",'Row and Column'!B$5:B$21),SUMIF('Row and Column'!D$5:D$75,I$2,'Row and Column'!E$5:E$75))</f>
        <v>Netherlands</v>
      </c>
      <c r="H26" s="13"/>
      <c r="I26" s="53"/>
      <c r="J26" s="32" t="s">
        <v>4</v>
      </c>
      <c r="K26" s="53"/>
      <c r="L26" s="13"/>
      <c r="M26" s="14" t="str">
        <f>INDEX(Language!B$2:BI$80,SUMIF('Row and Column'!A$5:A$21,"France",'Row and Column'!B$5:B$21),SUMIF('Row and Column'!D$5:D$75,I$2,'Row and Column'!E$5:E$75))</f>
        <v>France</v>
      </c>
      <c r="N26" s="16"/>
      <c r="O26" s="18"/>
      <c r="P26" s="13"/>
      <c r="Q26" s="12"/>
      <c r="R26" s="28" t="str">
        <f>VLOOKUP(1,'Dummy Table'!O18:P21,2,FALSE)</f>
        <v>Netherlands</v>
      </c>
      <c r="S26" s="29">
        <f>SUM(T26:V26)</f>
        <v>0</v>
      </c>
      <c r="T26" s="29">
        <f>SUMIF('Dummy Table'!B$18:B$21,'Euro 2008 Schedule'!R26,'Dummy Table'!C$18:C$21)</f>
        <v>0</v>
      </c>
      <c r="U26" s="29">
        <f>SUMIF('Dummy Table'!B$18:B$21,'Euro 2008 Schedule'!R26,'Dummy Table'!D$18:D$21)</f>
        <v>0</v>
      </c>
      <c r="V26" s="29">
        <f>SUMIF('Dummy Table'!B$18:B$21,'Euro 2008 Schedule'!R26,'Dummy Table'!E$18:E$21)</f>
        <v>0</v>
      </c>
      <c r="W26" s="29" t="str">
        <f>CONCATENATE(SUMIF('Dummy Table'!B$18:B$21,'Euro 2008 Schedule'!R26,'Dummy Table'!F$18:F$21)," - ",SUMIF('Dummy Table'!B$18:B$21,'Euro 2008 Schedule'!R26,'Dummy Table'!G$18:G$21))</f>
        <v>0 - 0</v>
      </c>
      <c r="X26" s="30">
        <f>SUMIF('Dummy Table'!B$18:B$21,'Euro 2008 Schedule'!R26,'Dummy Table'!I$18:I$21)</f>
        <v>0</v>
      </c>
      <c r="Y26" s="16"/>
      <c r="Z26" s="16"/>
      <c r="AB26" s="10"/>
      <c r="AE26" s="1"/>
      <c r="DA26" s="26" t="s">
        <v>147</v>
      </c>
      <c r="DB26" s="27" t="s">
        <v>443</v>
      </c>
    </row>
    <row r="27" spans="2:106" s="9" customFormat="1" ht="15" customHeight="1">
      <c r="B27" s="12"/>
      <c r="C27" s="12"/>
      <c r="D27" s="14">
        <v>15</v>
      </c>
      <c r="E27" s="31">
        <f t="shared" si="0"/>
        <v>39613.75</v>
      </c>
      <c r="F27" s="2">
        <f>Timezone!J16</f>
        <v>39613.75</v>
      </c>
      <c r="G27" s="14" t="str">
        <f>INDEX(Language!B$2:BI$80,SUMIF('Row and Column'!A$5:A$21,"Sweden",'Row and Column'!B$5:B$21),SUMIF('Row and Column'!D$5:D$75,I$2,'Row and Column'!E$5:E$75))</f>
        <v>Sweden</v>
      </c>
      <c r="H27" s="13"/>
      <c r="I27" s="53"/>
      <c r="J27" s="32" t="s">
        <v>4</v>
      </c>
      <c r="K27" s="53"/>
      <c r="L27" s="13"/>
      <c r="M27" s="14" t="str">
        <f>INDEX(Language!B$2:BI$80,SUMIF('Row and Column'!A$5:A$21,"Spain",'Row and Column'!B$5:B$21),SUMIF('Row and Column'!D$5:D$75,I$2,'Row and Column'!E$5:E$75))</f>
        <v>Spain</v>
      </c>
      <c r="N27" s="16"/>
      <c r="O27" s="18"/>
      <c r="P27" s="13"/>
      <c r="Q27" s="12"/>
      <c r="R27" s="33" t="str">
        <f>VLOOKUP(2,'Dummy Table'!O18:P21,2,FALSE)</f>
        <v>Italy</v>
      </c>
      <c r="S27" s="14">
        <f>SUM(T27:V27)</f>
        <v>0</v>
      </c>
      <c r="T27" s="14">
        <f>SUMIF('Dummy Table'!B$18:B$21,'Euro 2008 Schedule'!R27,'Dummy Table'!C$18:C$21)</f>
        <v>0</v>
      </c>
      <c r="U27" s="14">
        <f>SUMIF('Dummy Table'!B$18:B$21,'Euro 2008 Schedule'!R27,'Dummy Table'!D$18:D$21)</f>
        <v>0</v>
      </c>
      <c r="V27" s="14">
        <f>SUMIF('Dummy Table'!B$18:B$21,'Euro 2008 Schedule'!R27,'Dummy Table'!E$18:E$21)</f>
        <v>0</v>
      </c>
      <c r="W27" s="14" t="str">
        <f>CONCATENATE(SUMIF('Dummy Table'!B$18:B$21,'Euro 2008 Schedule'!R27,'Dummy Table'!F$18:F$21)," - ",SUMIF('Dummy Table'!B$18:B$21,'Euro 2008 Schedule'!R27,'Dummy Table'!G$18:G$21))</f>
        <v>0 - 0</v>
      </c>
      <c r="X27" s="34">
        <f>SUMIF('Dummy Table'!B$18:B$21,'Euro 2008 Schedule'!R27,'Dummy Table'!I$18:I$21)</f>
        <v>0</v>
      </c>
      <c r="Y27" s="16"/>
      <c r="Z27" s="16"/>
      <c r="AB27" s="10"/>
      <c r="AE27" s="1"/>
      <c r="DA27" s="26" t="s">
        <v>377</v>
      </c>
      <c r="DB27" s="27" t="s">
        <v>444</v>
      </c>
    </row>
    <row r="28" spans="2:106" s="9" customFormat="1" ht="15" customHeight="1">
      <c r="B28" s="12"/>
      <c r="C28" s="12"/>
      <c r="D28" s="14">
        <v>16</v>
      </c>
      <c r="E28" s="31">
        <f t="shared" si="0"/>
        <v>39613.864583333336</v>
      </c>
      <c r="F28" s="2">
        <f>Timezone!J17</f>
        <v>39613.864583333336</v>
      </c>
      <c r="G28" s="14" t="str">
        <f>INDEX(Language!B$2:BI$80,SUMIF('Row and Column'!A$5:A$21,"Greece",'Row and Column'!B$5:B$21),SUMIF('Row and Column'!D$5:D$75,I$2,'Row and Column'!E$5:E$75))</f>
        <v>Greece</v>
      </c>
      <c r="H28" s="13"/>
      <c r="I28" s="53"/>
      <c r="J28" s="32" t="s">
        <v>4</v>
      </c>
      <c r="K28" s="53"/>
      <c r="L28" s="13"/>
      <c r="M28" s="14" t="str">
        <f>INDEX(Language!B$2:BI$80,SUMIF('Row and Column'!A$5:A$21,"Russia",'Row and Column'!B$5:B$21),SUMIF('Row and Column'!D$5:D$75,I$2,'Row and Column'!E$5:E$75))</f>
        <v>Russia</v>
      </c>
      <c r="N28" s="16"/>
      <c r="O28" s="18"/>
      <c r="P28" s="13"/>
      <c r="Q28" s="12"/>
      <c r="R28" s="33" t="str">
        <f>VLOOKUP(3,'Dummy Table'!O18:P21,2,FALSE)</f>
        <v>Romania</v>
      </c>
      <c r="S28" s="14">
        <f>SUM(T28:V28)</f>
        <v>0</v>
      </c>
      <c r="T28" s="14">
        <f>SUMIF('Dummy Table'!B$18:B$21,'Euro 2008 Schedule'!R28,'Dummy Table'!C$18:C$21)</f>
        <v>0</v>
      </c>
      <c r="U28" s="14">
        <f>SUMIF('Dummy Table'!B$18:B$21,'Euro 2008 Schedule'!R28,'Dummy Table'!D$18:D$21)</f>
        <v>0</v>
      </c>
      <c r="V28" s="14">
        <f>SUMIF('Dummy Table'!B$18:B$21,'Euro 2008 Schedule'!R28,'Dummy Table'!E$18:E$21)</f>
        <v>0</v>
      </c>
      <c r="W28" s="14" t="str">
        <f>CONCATENATE(SUMIF('Dummy Table'!B$18:B$21,'Euro 2008 Schedule'!R28,'Dummy Table'!F$18:F$21)," - ",SUMIF('Dummy Table'!B$18:B$21,'Euro 2008 Schedule'!R28,'Dummy Table'!G$18:G$21))</f>
        <v>0 - 0</v>
      </c>
      <c r="X28" s="34">
        <f>SUMIF('Dummy Table'!B$18:B$21,'Euro 2008 Schedule'!R28,'Dummy Table'!I$18:I$21)</f>
        <v>0</v>
      </c>
      <c r="Y28" s="16"/>
      <c r="Z28" s="16"/>
      <c r="AB28" s="10"/>
      <c r="AE28" s="1"/>
      <c r="DA28" s="26" t="s">
        <v>234</v>
      </c>
      <c r="DB28" s="27" t="s">
        <v>445</v>
      </c>
    </row>
    <row r="29" spans="2:106" s="9" customFormat="1" ht="15" customHeight="1">
      <c r="B29" s="12"/>
      <c r="C29" s="12"/>
      <c r="D29" s="14">
        <v>17</v>
      </c>
      <c r="E29" s="31">
        <f t="shared" si="0"/>
        <v>39614.864583333336</v>
      </c>
      <c r="F29" s="2">
        <f>Timezone!J18</f>
        <v>39614.864583333336</v>
      </c>
      <c r="G29" s="14" t="str">
        <f>INDEX(Language!B$2:BI$80,SUMIF('Row and Column'!A$5:A$21,"Switzerland",'Row and Column'!B$5:B$21),SUMIF('Row and Column'!D$5:D$75,I$2,'Row and Column'!E$5:E$75))</f>
        <v>Switzerland</v>
      </c>
      <c r="H29" s="13"/>
      <c r="I29" s="53"/>
      <c r="J29" s="32" t="s">
        <v>4</v>
      </c>
      <c r="K29" s="53"/>
      <c r="L29" s="13"/>
      <c r="M29" s="14" t="str">
        <f>INDEX(Language!B$2:BI$80,SUMIF('Row and Column'!A$5:A$21,"Portugal",'Row and Column'!B$5:B$21),SUMIF('Row and Column'!D$5:D$75,I$2,'Row and Column'!E$5:E$75))</f>
        <v>Portugal</v>
      </c>
      <c r="N29" s="16"/>
      <c r="O29" s="18"/>
      <c r="P29" s="13"/>
      <c r="Q29" s="12"/>
      <c r="R29" s="35" t="str">
        <f>VLOOKUP(4,'Dummy Table'!O18:P21,2,FALSE)</f>
        <v>France</v>
      </c>
      <c r="S29" s="36">
        <f>SUM(T29:V29)</f>
        <v>0</v>
      </c>
      <c r="T29" s="36">
        <f>SUMIF('Dummy Table'!B$18:B$21,'Euro 2008 Schedule'!R29,'Dummy Table'!C$18:C$21)</f>
        <v>0</v>
      </c>
      <c r="U29" s="36">
        <f>SUMIF('Dummy Table'!B$18:B$21,'Euro 2008 Schedule'!R29,'Dummy Table'!D$18:D$21)</f>
        <v>0</v>
      </c>
      <c r="V29" s="36">
        <f>SUMIF('Dummy Table'!B$18:B$21,'Euro 2008 Schedule'!R29,'Dummy Table'!E$18:E$21)</f>
        <v>0</v>
      </c>
      <c r="W29" s="36" t="str">
        <f>CONCATENATE(SUMIF('Dummy Table'!B$18:B$21,'Euro 2008 Schedule'!R29,'Dummy Table'!F$18:F$21)," - ",SUMIF('Dummy Table'!B$18:B$21,'Euro 2008 Schedule'!R29,'Dummy Table'!G$18:G$21))</f>
        <v>0 - 0</v>
      </c>
      <c r="X29" s="37">
        <f>SUMIF('Dummy Table'!B$18:B$21,'Euro 2008 Schedule'!R29,'Dummy Table'!I$18:I$21)</f>
        <v>0</v>
      </c>
      <c r="Y29" s="16"/>
      <c r="Z29" s="16"/>
      <c r="AB29" s="10"/>
      <c r="AE29" s="1"/>
      <c r="DA29" s="26" t="s">
        <v>146</v>
      </c>
      <c r="DB29" s="27" t="s">
        <v>446</v>
      </c>
    </row>
    <row r="30" spans="2:106" s="9" customFormat="1" ht="15" customHeight="1">
      <c r="B30" s="12"/>
      <c r="C30" s="12"/>
      <c r="D30" s="14">
        <v>18</v>
      </c>
      <c r="E30" s="31">
        <f t="shared" si="0"/>
        <v>39614.864583333336</v>
      </c>
      <c r="F30" s="2">
        <f>Timezone!J19</f>
        <v>39614.864583333336</v>
      </c>
      <c r="G30" s="14" t="str">
        <f>INDEX(Language!B$2:BI$80,SUMIF('Row and Column'!A$5:A$21,"Turkey",'Row and Column'!B$5:B$21),SUMIF('Row and Column'!D$5:D$75,I$2,'Row and Column'!E$5:E$75))</f>
        <v>Turkey</v>
      </c>
      <c r="H30" s="13"/>
      <c r="I30" s="53"/>
      <c r="J30" s="32" t="s">
        <v>4</v>
      </c>
      <c r="K30" s="53"/>
      <c r="L30" s="13"/>
      <c r="M30" s="14" t="str">
        <f>INDEX(Language!B$2:BI$80,SUMIF('Row and Column'!A$5:A$21,"Czech Republic",'Row and Column'!B$5:B$21),SUMIF('Row and Column'!D$5:D$75,I$2,'Row and Column'!E$5:E$75))</f>
        <v>Czech Republic</v>
      </c>
      <c r="N30" s="16"/>
      <c r="O30" s="18"/>
      <c r="P30" s="13"/>
      <c r="Q30" s="12"/>
      <c r="Y30" s="16"/>
      <c r="Z30" s="16"/>
      <c r="AB30" s="10"/>
      <c r="AE30" s="1"/>
      <c r="DA30" s="26" t="s">
        <v>117</v>
      </c>
      <c r="DB30" s="27" t="s">
        <v>447</v>
      </c>
    </row>
    <row r="31" spans="2:106" s="9" customFormat="1" ht="15" customHeight="1">
      <c r="B31" s="12"/>
      <c r="C31" s="12"/>
      <c r="D31" s="14">
        <v>19</v>
      </c>
      <c r="E31" s="31">
        <f t="shared" si="0"/>
        <v>39615.864583333336</v>
      </c>
      <c r="F31" s="2">
        <f>Timezone!J20</f>
        <v>39615.864583333336</v>
      </c>
      <c r="G31" s="14" t="str">
        <f>INDEX(Language!B$2:BI$80,SUMIF('Row and Column'!A$5:A$21,"Poland",'Row and Column'!B$5:B$21),SUMIF('Row and Column'!D$5:D$75,I$2,'Row and Column'!E$5:E$75))</f>
        <v>Poland</v>
      </c>
      <c r="H31" s="13"/>
      <c r="I31" s="53"/>
      <c r="J31" s="32" t="s">
        <v>4</v>
      </c>
      <c r="K31" s="53"/>
      <c r="L31" s="13"/>
      <c r="M31" s="14" t="str">
        <f>INDEX(Language!B$2:BI$80,SUMIF('Row and Column'!A$5:A$21,"Croatia",'Row and Column'!B$5:B$21),SUMIF('Row and Column'!D$5:D$75,I$2,'Row and Column'!E$5:E$75))</f>
        <v>Croatia</v>
      </c>
      <c r="N31" s="16"/>
      <c r="O31" s="18"/>
      <c r="P31" s="13"/>
      <c r="Q31" s="12"/>
      <c r="Y31" s="16"/>
      <c r="Z31" s="16"/>
      <c r="AB31" s="10"/>
      <c r="AE31" s="1"/>
      <c r="DA31" s="26" t="s">
        <v>197</v>
      </c>
      <c r="DB31" s="27" t="s">
        <v>448</v>
      </c>
    </row>
    <row r="32" spans="2:106" s="9" customFormat="1" ht="15" customHeight="1">
      <c r="B32" s="12"/>
      <c r="C32" s="12"/>
      <c r="D32" s="14">
        <v>20</v>
      </c>
      <c r="E32" s="31">
        <f t="shared" si="0"/>
        <v>39615.864583333336</v>
      </c>
      <c r="F32" s="2">
        <f>Timezone!J21</f>
        <v>39615.864583333336</v>
      </c>
      <c r="G32" s="14" t="str">
        <f>INDEX(Language!B$2:BI$80,SUMIF('Row and Column'!A$5:A$21,"Austria",'Row and Column'!B$5:B$21),SUMIF('Row and Column'!D$5:D$75,I$2,'Row and Column'!E$5:E$75))</f>
        <v>Austria</v>
      </c>
      <c r="H32" s="13"/>
      <c r="I32" s="53"/>
      <c r="J32" s="32" t="s">
        <v>4</v>
      </c>
      <c r="K32" s="53"/>
      <c r="L32" s="13"/>
      <c r="M32" s="14" t="str">
        <f>INDEX(Language!B$2:BI$80,SUMIF('Row and Column'!A$5:A$21,"Germany",'Row and Column'!B$5:B$21),SUMIF('Row and Column'!D$5:D$75,I$2,'Row and Column'!E$5:E$75))</f>
        <v>Germany</v>
      </c>
      <c r="N32" s="16"/>
      <c r="O32" s="18"/>
      <c r="P32" s="13"/>
      <c r="Q32" s="12"/>
      <c r="R32" s="23" t="s">
        <v>28</v>
      </c>
      <c r="S32" s="24" t="s">
        <v>424</v>
      </c>
      <c r="T32" s="24" t="s">
        <v>22</v>
      </c>
      <c r="U32" s="24" t="s">
        <v>23</v>
      </c>
      <c r="V32" s="24" t="s">
        <v>24</v>
      </c>
      <c r="W32" s="24" t="s">
        <v>25</v>
      </c>
      <c r="X32" s="25" t="s">
        <v>425</v>
      </c>
      <c r="Y32" s="16"/>
      <c r="Z32" s="16"/>
      <c r="AB32" s="10"/>
      <c r="AE32" s="1"/>
      <c r="DA32" s="26" t="s">
        <v>329</v>
      </c>
      <c r="DB32" s="27" t="s">
        <v>449</v>
      </c>
    </row>
    <row r="33" spans="2:106" s="9" customFormat="1" ht="15" customHeight="1">
      <c r="B33" s="12"/>
      <c r="C33" s="12"/>
      <c r="D33" s="14">
        <v>21</v>
      </c>
      <c r="E33" s="31">
        <f t="shared" si="0"/>
        <v>39616.864583333336</v>
      </c>
      <c r="F33" s="2">
        <f>Timezone!J22</f>
        <v>39616.864583333336</v>
      </c>
      <c r="G33" s="14" t="str">
        <f>INDEX(Language!B$2:BI$80,SUMIF('Row and Column'!A$5:A$21,"Netherlands",'Row and Column'!B$5:B$21),SUMIF('Row and Column'!D$5:D$75,I$2,'Row and Column'!E$5:E$75))</f>
        <v>Netherlands</v>
      </c>
      <c r="H33" s="13"/>
      <c r="I33" s="53"/>
      <c r="J33" s="32" t="s">
        <v>4</v>
      </c>
      <c r="K33" s="53"/>
      <c r="L33" s="13"/>
      <c r="M33" s="14" t="str">
        <f>INDEX(Language!B$2:BI$80,SUMIF('Row and Column'!A$5:A$21,"Romania",'Row and Column'!B$5:B$21),SUMIF('Row and Column'!D$5:D$75,I$2,'Row and Column'!E$5:E$75))</f>
        <v>Romania</v>
      </c>
      <c r="N33" s="16"/>
      <c r="O33" s="18"/>
      <c r="P33" s="13"/>
      <c r="Q33" s="12"/>
      <c r="R33" s="28" t="str">
        <f>VLOOKUP(1,'Dummy Table'!O25:P28,2,FALSE)</f>
        <v>Sweden</v>
      </c>
      <c r="S33" s="29">
        <f>SUM(T33:V33)</f>
        <v>0</v>
      </c>
      <c r="T33" s="29">
        <f>SUMIF('Dummy Table'!B$25:B$28,'Euro 2008 Schedule'!R33,'Dummy Table'!C$25:C$28)</f>
        <v>0</v>
      </c>
      <c r="U33" s="29">
        <f>SUMIF('Dummy Table'!B$25:B$28,'Euro 2008 Schedule'!R33,'Dummy Table'!D$25:D$28)</f>
        <v>0</v>
      </c>
      <c r="V33" s="29">
        <f>SUMIF('Dummy Table'!B$25:B$28,'Euro 2008 Schedule'!R33,'Dummy Table'!E$25:E$28)</f>
        <v>0</v>
      </c>
      <c r="W33" s="29" t="str">
        <f>CONCATENATE(SUMIF('Dummy Table'!B$25:B$28,'Euro 2008 Schedule'!R33,'Dummy Table'!F$25:F$28)," - ",SUMIF('Dummy Table'!B$25:B$28,'Euro 2008 Schedule'!R33,'Dummy Table'!G$25:G$28))</f>
        <v>0 - 0</v>
      </c>
      <c r="X33" s="30">
        <f>SUMIF('Dummy Table'!B$25:B$28,'Euro 2008 Schedule'!R33,'Dummy Table'!I$25:I$28)</f>
        <v>0</v>
      </c>
      <c r="Y33" s="16"/>
      <c r="Z33" s="16"/>
      <c r="AB33" s="10"/>
      <c r="AE33" s="1"/>
      <c r="DA33" s="26" t="s">
        <v>280</v>
      </c>
      <c r="DB33" s="27" t="s">
        <v>450</v>
      </c>
    </row>
    <row r="34" spans="2:106" s="9" customFormat="1" ht="15" customHeight="1">
      <c r="B34" s="12"/>
      <c r="C34" s="12"/>
      <c r="D34" s="14">
        <v>22</v>
      </c>
      <c r="E34" s="31">
        <f t="shared" si="0"/>
        <v>39616.864583333336</v>
      </c>
      <c r="F34" s="2">
        <f>Timezone!J23</f>
        <v>39616.864583333336</v>
      </c>
      <c r="G34" s="14" t="str">
        <f>INDEX(Language!B$2:BI$80,SUMIF('Row and Column'!A$5:A$21,"France",'Row and Column'!B$5:B$21),SUMIF('Row and Column'!D$5:D$75,I$2,'Row and Column'!E$5:E$75))</f>
        <v>France</v>
      </c>
      <c r="H34" s="13"/>
      <c r="I34" s="53"/>
      <c r="J34" s="32" t="s">
        <v>4</v>
      </c>
      <c r="K34" s="53"/>
      <c r="L34" s="13"/>
      <c r="M34" s="14" t="str">
        <f>INDEX(Language!B$2:BI$80,SUMIF('Row and Column'!A$5:A$21,"Italy",'Row and Column'!B$5:B$21),SUMIF('Row and Column'!D$5:D$75,I$2,'Row and Column'!E$5:E$75))</f>
        <v>Italy</v>
      </c>
      <c r="N34" s="16"/>
      <c r="O34" s="18"/>
      <c r="P34" s="13"/>
      <c r="Q34" s="12"/>
      <c r="R34" s="33" t="str">
        <f>VLOOKUP(2,'Dummy Table'!O25:P28,2,FALSE)</f>
        <v>Spain</v>
      </c>
      <c r="S34" s="14">
        <f>SUM(T34:V34)</f>
        <v>0</v>
      </c>
      <c r="T34" s="14">
        <f>SUMIF('Dummy Table'!B$25:B$28,'Euro 2008 Schedule'!R34,'Dummy Table'!C$25:C$28)</f>
        <v>0</v>
      </c>
      <c r="U34" s="14">
        <f>SUMIF('Dummy Table'!B$25:B$28,'Euro 2008 Schedule'!R34,'Dummy Table'!D$25:D$28)</f>
        <v>0</v>
      </c>
      <c r="V34" s="14">
        <f>SUMIF('Dummy Table'!B$25:B$28,'Euro 2008 Schedule'!R34,'Dummy Table'!E$25:E$28)</f>
        <v>0</v>
      </c>
      <c r="W34" s="14" t="str">
        <f>CONCATENATE(SUMIF('Dummy Table'!B$25:B$28,'Euro 2008 Schedule'!R34,'Dummy Table'!F$25:F$28)," - ",SUMIF('Dummy Table'!B$25:B$28,'Euro 2008 Schedule'!R34,'Dummy Table'!G$25:G$28))</f>
        <v>0 - 0</v>
      </c>
      <c r="X34" s="34">
        <f>SUMIF('Dummy Table'!B$25:B$28,'Euro 2008 Schedule'!R34,'Dummy Table'!I$25:I$28)</f>
        <v>0</v>
      </c>
      <c r="Y34" s="16"/>
      <c r="Z34" s="16"/>
      <c r="AB34" s="10"/>
      <c r="AE34" s="1"/>
      <c r="DA34" s="26" t="s">
        <v>248</v>
      </c>
      <c r="DB34" s="27" t="s">
        <v>451</v>
      </c>
    </row>
    <row r="35" spans="2:106" s="9" customFormat="1" ht="15" customHeight="1">
      <c r="B35" s="12"/>
      <c r="C35" s="12"/>
      <c r="D35" s="14">
        <v>23</v>
      </c>
      <c r="E35" s="31">
        <f t="shared" si="0"/>
        <v>39617.864583333336</v>
      </c>
      <c r="F35" s="2">
        <f>Timezone!J24</f>
        <v>39617.864583333336</v>
      </c>
      <c r="G35" s="14" t="str">
        <f>INDEX(Language!B$2:BI$80,SUMIF('Row and Column'!A$5:A$21,"Greece",'Row and Column'!B$5:B$21),SUMIF('Row and Column'!D$5:D$75,I$2,'Row and Column'!E$5:E$75))</f>
        <v>Greece</v>
      </c>
      <c r="H35" s="13"/>
      <c r="I35" s="53"/>
      <c r="J35" s="32" t="s">
        <v>4</v>
      </c>
      <c r="K35" s="53"/>
      <c r="L35" s="13"/>
      <c r="M35" s="14" t="str">
        <f>INDEX(Language!B$2:BI$80,SUMIF('Row and Column'!A$5:A$21,"Spain",'Row and Column'!B$5:B$21),SUMIF('Row and Column'!D$5:D$75,I$2,'Row and Column'!E$5:E$75))</f>
        <v>Spain</v>
      </c>
      <c r="N35" s="16"/>
      <c r="O35" s="18"/>
      <c r="P35" s="13"/>
      <c r="Q35" s="12"/>
      <c r="R35" s="33" t="str">
        <f>VLOOKUP(3,'Dummy Table'!O25:P28,2,FALSE)</f>
        <v>Greece</v>
      </c>
      <c r="S35" s="14">
        <f>SUM(T35:V35)</f>
        <v>0</v>
      </c>
      <c r="T35" s="14">
        <f>SUMIF('Dummy Table'!B$25:B$28,'Euro 2008 Schedule'!R35,'Dummy Table'!C$25:C$28)</f>
        <v>0</v>
      </c>
      <c r="U35" s="14">
        <f>SUMIF('Dummy Table'!B$25:B$28,'Euro 2008 Schedule'!R35,'Dummy Table'!D$25:D$28)</f>
        <v>0</v>
      </c>
      <c r="V35" s="14">
        <f>SUMIF('Dummy Table'!B$25:B$28,'Euro 2008 Schedule'!R35,'Dummy Table'!E$25:E$28)</f>
        <v>0</v>
      </c>
      <c r="W35" s="14" t="str">
        <f>CONCATENATE(SUMIF('Dummy Table'!B$25:B$28,'Euro 2008 Schedule'!R35,'Dummy Table'!F$25:F$28)," - ",SUMIF('Dummy Table'!B$25:B$28,'Euro 2008 Schedule'!R35,'Dummy Table'!G$25:G$28))</f>
        <v>0 - 0</v>
      </c>
      <c r="X35" s="34">
        <f>SUMIF('Dummy Table'!B$25:B$28,'Euro 2008 Schedule'!R35,'Dummy Table'!I$25:I$28)</f>
        <v>0</v>
      </c>
      <c r="Y35" s="16"/>
      <c r="Z35" s="16"/>
      <c r="AB35" s="10"/>
      <c r="AE35" s="1"/>
      <c r="DA35" s="26" t="s">
        <v>105</v>
      </c>
      <c r="DB35" s="27" t="s">
        <v>452</v>
      </c>
    </row>
    <row r="36" spans="2:106" s="9" customFormat="1" ht="15" customHeight="1">
      <c r="B36" s="12"/>
      <c r="C36" s="12"/>
      <c r="D36" s="14">
        <v>24</v>
      </c>
      <c r="E36" s="31">
        <f t="shared" si="0"/>
        <v>39617.864583333336</v>
      </c>
      <c r="F36" s="2">
        <f>Timezone!J25</f>
        <v>39617.864583333336</v>
      </c>
      <c r="G36" s="14" t="str">
        <f>INDEX(Language!B$2:BI$80,SUMIF('Row and Column'!A$5:A$21,"Russia",'Row and Column'!B$5:B$21),SUMIF('Row and Column'!D$5:D$75,I$2,'Row and Column'!E$5:E$75))</f>
        <v>Russia</v>
      </c>
      <c r="H36" s="13"/>
      <c r="I36" s="53"/>
      <c r="J36" s="32" t="s">
        <v>4</v>
      </c>
      <c r="K36" s="53"/>
      <c r="L36" s="13"/>
      <c r="M36" s="14" t="str">
        <f>INDEX(Language!B$2:BI$80,SUMIF('Row and Column'!A$5:A$21,"Sweden",'Row and Column'!B$5:B$21),SUMIF('Row and Column'!D$5:D$75,I$2,'Row and Column'!E$5:E$75))</f>
        <v>Sweden</v>
      </c>
      <c r="N36" s="16"/>
      <c r="O36" s="18"/>
      <c r="P36" s="13"/>
      <c r="Q36" s="12"/>
      <c r="R36" s="35" t="str">
        <f>VLOOKUP(4,'Dummy Table'!O25:P28,2,FALSE)</f>
        <v>Russia</v>
      </c>
      <c r="S36" s="36">
        <f>SUM(T36:V36)</f>
        <v>0</v>
      </c>
      <c r="T36" s="36">
        <f>SUMIF('Dummy Table'!B$25:B$28,'Euro 2008 Schedule'!R36,'Dummy Table'!C$25:C$28)</f>
        <v>0</v>
      </c>
      <c r="U36" s="36">
        <f>SUMIF('Dummy Table'!B$25:B$28,'Euro 2008 Schedule'!R36,'Dummy Table'!D$25:D$28)</f>
        <v>0</v>
      </c>
      <c r="V36" s="36">
        <f>SUMIF('Dummy Table'!B$25:B$28,'Euro 2008 Schedule'!R36,'Dummy Table'!E$25:E$28)</f>
        <v>0</v>
      </c>
      <c r="W36" s="36" t="str">
        <f>CONCATENATE(SUMIF('Dummy Table'!B$25:B$28,'Euro 2008 Schedule'!R36,'Dummy Table'!F$25:F$28)," - ",SUMIF('Dummy Table'!B$25:B$28,'Euro 2008 Schedule'!R36,'Dummy Table'!G$25:G$28))</f>
        <v>0 - 0</v>
      </c>
      <c r="X36" s="37">
        <f>SUMIF('Dummy Table'!B$25:B$28,'Euro 2008 Schedule'!R36,'Dummy Table'!I$25:I$28)</f>
        <v>0</v>
      </c>
      <c r="Y36" s="16"/>
      <c r="Z36" s="16"/>
      <c r="AB36" s="10"/>
      <c r="AE36" s="1"/>
      <c r="DA36" s="26" t="s">
        <v>346</v>
      </c>
      <c r="DB36" s="27" t="s">
        <v>453</v>
      </c>
    </row>
    <row r="37" spans="2:106" s="9" customFormat="1" ht="15" customHeight="1">
      <c r="B37" s="12"/>
      <c r="C37" s="12"/>
      <c r="D37" s="14"/>
      <c r="E37" s="39"/>
      <c r="F37" s="1"/>
      <c r="G37" s="14"/>
      <c r="H37" s="13"/>
      <c r="I37" s="14"/>
      <c r="J37" s="14"/>
      <c r="K37" s="14"/>
      <c r="L37" s="13"/>
      <c r="M37" s="14"/>
      <c r="N37" s="16"/>
      <c r="O37" s="18"/>
      <c r="P37" s="13"/>
      <c r="Q37" s="12"/>
      <c r="Y37" s="16"/>
      <c r="Z37" s="16"/>
      <c r="AB37" s="10"/>
      <c r="DA37" s="26" t="s">
        <v>371</v>
      </c>
      <c r="DB37" s="27" t="s">
        <v>454</v>
      </c>
    </row>
    <row r="38" spans="2:106" s="9" customFormat="1" ht="15" customHeight="1">
      <c r="B38" s="12"/>
      <c r="C38" s="40"/>
      <c r="D38" s="41"/>
      <c r="E38" s="41"/>
      <c r="F38" s="42"/>
      <c r="G38" s="42"/>
      <c r="H38" s="41"/>
      <c r="I38" s="41"/>
      <c r="J38" s="36"/>
      <c r="K38" s="41"/>
      <c r="L38" s="41"/>
      <c r="M38" s="41"/>
      <c r="N38" s="43"/>
      <c r="O38" s="18"/>
      <c r="P38" s="13"/>
      <c r="Q38" s="40"/>
      <c r="R38" s="41"/>
      <c r="S38" s="41"/>
      <c r="T38" s="41"/>
      <c r="U38" s="41"/>
      <c r="V38" s="41"/>
      <c r="W38" s="41"/>
      <c r="X38" s="41"/>
      <c r="Y38" s="43"/>
      <c r="Z38" s="16"/>
      <c r="AA38" s="13"/>
      <c r="AB38" s="44"/>
      <c r="DA38" s="38"/>
      <c r="DB38" s="27" t="s">
        <v>455</v>
      </c>
    </row>
    <row r="39" spans="2:106" s="9" customFormat="1" ht="15" customHeight="1">
      <c r="B39" s="40"/>
      <c r="C39" s="41"/>
      <c r="D39" s="41"/>
      <c r="E39" s="41"/>
      <c r="F39" s="42"/>
      <c r="G39" s="42"/>
      <c r="H39" s="41"/>
      <c r="I39" s="41"/>
      <c r="J39" s="36"/>
      <c r="K39" s="41"/>
      <c r="L39" s="41"/>
      <c r="M39" s="41"/>
      <c r="N39" s="41"/>
      <c r="O39" s="45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3"/>
      <c r="AB39" s="10"/>
      <c r="DA39" s="38"/>
      <c r="DB39" s="27" t="s">
        <v>456</v>
      </c>
    </row>
    <row r="40" spans="2:106" s="9" customFormat="1" ht="15" customHeight="1">
      <c r="B40" s="13"/>
      <c r="C40" s="13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B40" s="10"/>
      <c r="DA40" s="11"/>
      <c r="DB40" s="27" t="s">
        <v>457</v>
      </c>
    </row>
    <row r="41" spans="2:106" s="9" customFormat="1" ht="15" customHeight="1">
      <c r="B41" s="96" t="s">
        <v>57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B41" s="10"/>
      <c r="DA41" s="11"/>
      <c r="DB41" s="27" t="s">
        <v>458</v>
      </c>
    </row>
    <row r="42" spans="2:106" s="9" customFormat="1" ht="15" customHeight="1">
      <c r="B42" s="12"/>
      <c r="C42" s="13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B42" s="10"/>
      <c r="DA42" s="11"/>
      <c r="DB42" s="27" t="s">
        <v>459</v>
      </c>
    </row>
    <row r="43" spans="2:106" s="9" customFormat="1" ht="15" customHeight="1">
      <c r="B43" s="12"/>
      <c r="C43" s="13"/>
      <c r="D43" s="14">
        <v>25</v>
      </c>
      <c r="E43" s="3">
        <f>F43</f>
        <v>39618.864583333336</v>
      </c>
      <c r="F43" s="2">
        <f>Timezone!J26</f>
        <v>39618.864583333336</v>
      </c>
      <c r="G43" s="14" t="str">
        <f>IF(SUM(S12:S15)=12,R12,"Group A Winner")</f>
        <v>Group A Winner</v>
      </c>
      <c r="H43" s="14"/>
      <c r="I43" s="14">
        <f>IF(I44="","",IF(AND(I44=K44,I44&lt;&gt;"",K44&lt;&gt;""),IF(AND(I45=K45,I45&lt;&gt;"",K45&lt;&gt;""),IF(AND(I46=K46,I46&lt;&gt;"",K46&lt;&gt;""),"",I44+I45+I46),I44+I45),I44))</f>
      </c>
      <c r="J43" s="32" t="s">
        <v>4</v>
      </c>
      <c r="K43" s="14">
        <f>IF(K44="","",IF(AND(I44=K44,I44&lt;&gt;"",K44&lt;&gt;""),IF(AND(I45=K45,I45&lt;&gt;"",K45&lt;&gt;""),IF(AND(I46=K46,I46&lt;&gt;"",K46&lt;&gt;""),"",K44+K45+K46),K44+K45),K44))</f>
      </c>
      <c r="L43" s="14"/>
      <c r="M43" s="14" t="str">
        <f>IF(SUM(S19:S22)=12,R20,"Group B Runner Up")</f>
        <v>Group B Runner Up</v>
      </c>
      <c r="N43" s="13"/>
      <c r="O43" s="1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B43" s="10"/>
      <c r="DA43" s="11"/>
      <c r="DB43" s="27" t="s">
        <v>460</v>
      </c>
    </row>
    <row r="44" spans="2:106" s="9" customFormat="1" ht="15" customHeight="1">
      <c r="B44" s="12"/>
      <c r="C44" s="13"/>
      <c r="D44" s="13"/>
      <c r="E44" s="48"/>
      <c r="F44" s="2"/>
      <c r="G44" s="49" t="s">
        <v>417</v>
      </c>
      <c r="H44" s="13"/>
      <c r="I44" s="53"/>
      <c r="J44" s="32" t="s">
        <v>4</v>
      </c>
      <c r="K44" s="53"/>
      <c r="L44" s="13"/>
      <c r="M44" s="13"/>
      <c r="N44" s="13"/>
      <c r="O44" s="1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B44" s="10"/>
      <c r="DA44" s="11"/>
      <c r="DB44" s="27" t="s">
        <v>461</v>
      </c>
    </row>
    <row r="45" spans="2:106" s="9" customFormat="1" ht="15" customHeight="1">
      <c r="B45" s="12"/>
      <c r="C45" s="13"/>
      <c r="D45" s="13"/>
      <c r="E45" s="48"/>
      <c r="F45" s="2"/>
      <c r="G45" s="49" t="s">
        <v>418</v>
      </c>
      <c r="H45" s="13"/>
      <c r="I45" s="53"/>
      <c r="J45" s="32" t="s">
        <v>4</v>
      </c>
      <c r="K45" s="53"/>
      <c r="L45" s="13"/>
      <c r="M45" s="13"/>
      <c r="N45" s="13"/>
      <c r="O45" s="1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B45" s="10"/>
      <c r="DA45" s="11"/>
      <c r="DB45" s="27" t="s">
        <v>462</v>
      </c>
    </row>
    <row r="46" spans="2:106" s="9" customFormat="1" ht="15" customHeight="1">
      <c r="B46" s="12"/>
      <c r="C46" s="13"/>
      <c r="D46" s="13"/>
      <c r="E46" s="48"/>
      <c r="F46" s="2"/>
      <c r="G46" s="49" t="s">
        <v>419</v>
      </c>
      <c r="H46" s="13"/>
      <c r="I46" s="53"/>
      <c r="J46" s="32" t="s">
        <v>4</v>
      </c>
      <c r="K46" s="53"/>
      <c r="L46" s="13"/>
      <c r="M46" s="13"/>
      <c r="N46" s="13"/>
      <c r="O46" s="1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B46" s="10"/>
      <c r="DA46" s="11"/>
      <c r="DB46" s="27" t="s">
        <v>463</v>
      </c>
    </row>
    <row r="47" spans="2:106" s="9" customFormat="1" ht="15" customHeight="1">
      <c r="B47" s="12"/>
      <c r="C47" s="13"/>
      <c r="D47" s="13"/>
      <c r="E47" s="48"/>
      <c r="F47" s="2"/>
      <c r="G47" s="13"/>
      <c r="H47" s="13"/>
      <c r="I47" s="14"/>
      <c r="J47" s="14"/>
      <c r="K47" s="14"/>
      <c r="L47" s="13"/>
      <c r="M47" s="13"/>
      <c r="N47" s="13"/>
      <c r="O47" s="1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B47" s="10"/>
      <c r="DA47" s="11"/>
      <c r="DB47" s="27" t="s">
        <v>464</v>
      </c>
    </row>
    <row r="48" spans="2:106" s="9" customFormat="1" ht="15" customHeight="1">
      <c r="B48" s="12"/>
      <c r="C48" s="13"/>
      <c r="D48" s="14">
        <v>26</v>
      </c>
      <c r="E48" s="3">
        <f>F48</f>
        <v>39619.864583333336</v>
      </c>
      <c r="F48" s="2">
        <f>Timezone!J27</f>
        <v>39619.864583333336</v>
      </c>
      <c r="G48" s="14" t="str">
        <f>IF(SUM(S19:S22)=12,R19,"Group B Winner")</f>
        <v>Group B Winner</v>
      </c>
      <c r="H48" s="14"/>
      <c r="I48" s="14">
        <f>IF(I49="","",IF(AND(I49=K49,I49&lt;&gt;"",K49&lt;&gt;""),IF(AND(I50=K50,I50&lt;&gt;"",K50&lt;&gt;""),IF(AND(I51=K51,I51&lt;&gt;"",K51&lt;&gt;""),"",I49+I50+I51),I49+I50),I49))</f>
      </c>
      <c r="J48" s="32" t="s">
        <v>4</v>
      </c>
      <c r="K48" s="14">
        <f>IF(K49="","",IF(AND(I49=K49,I49&lt;&gt;"",K49&lt;&gt;""),IF(AND(I50=K50,I50&lt;&gt;"",K50&lt;&gt;""),IF(AND(I51=K51,I51&lt;&gt;"",K51&lt;&gt;""),"",K49+K50+K51),K49+K50),K49))</f>
      </c>
      <c r="L48" s="14"/>
      <c r="M48" s="14" t="str">
        <f>IF(SUM(S12:S15)=12,R13,"Group A Runner Up")</f>
        <v>Group A Runner Up</v>
      </c>
      <c r="N48" s="13"/>
      <c r="O48" s="1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B48" s="10"/>
      <c r="DA48" s="11"/>
      <c r="DB48" s="27" t="s">
        <v>465</v>
      </c>
    </row>
    <row r="49" spans="2:106" s="9" customFormat="1" ht="15" customHeight="1">
      <c r="B49" s="12"/>
      <c r="C49" s="13"/>
      <c r="D49" s="13"/>
      <c r="E49" s="48"/>
      <c r="F49" s="2"/>
      <c r="G49" s="49" t="s">
        <v>417</v>
      </c>
      <c r="H49" s="13"/>
      <c r="I49" s="53"/>
      <c r="J49" s="32" t="s">
        <v>4</v>
      </c>
      <c r="K49" s="53"/>
      <c r="L49" s="13"/>
      <c r="M49" s="13"/>
      <c r="N49" s="13"/>
      <c r="O49" s="1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B49" s="10"/>
      <c r="DA49" s="11"/>
      <c r="DB49" s="27" t="s">
        <v>466</v>
      </c>
    </row>
    <row r="50" spans="2:106" s="9" customFormat="1" ht="15" customHeight="1">
      <c r="B50" s="12"/>
      <c r="C50" s="13"/>
      <c r="D50" s="13"/>
      <c r="E50" s="48"/>
      <c r="F50" s="2"/>
      <c r="G50" s="49" t="s">
        <v>418</v>
      </c>
      <c r="H50" s="13"/>
      <c r="I50" s="53"/>
      <c r="J50" s="32" t="s">
        <v>4</v>
      </c>
      <c r="K50" s="53"/>
      <c r="L50" s="13"/>
      <c r="M50" s="13"/>
      <c r="N50" s="13"/>
      <c r="O50" s="16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B50" s="10"/>
      <c r="DA50" s="11"/>
      <c r="DB50" s="27" t="s">
        <v>467</v>
      </c>
    </row>
    <row r="51" spans="2:106" s="9" customFormat="1" ht="15" customHeight="1">
      <c r="B51" s="12"/>
      <c r="C51" s="13"/>
      <c r="D51" s="13"/>
      <c r="E51" s="48"/>
      <c r="F51" s="2"/>
      <c r="G51" s="49" t="s">
        <v>419</v>
      </c>
      <c r="H51" s="13"/>
      <c r="I51" s="53"/>
      <c r="J51" s="32" t="s">
        <v>4</v>
      </c>
      <c r="K51" s="53"/>
      <c r="L51" s="13"/>
      <c r="M51" s="13"/>
      <c r="N51" s="13"/>
      <c r="O51" s="16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B51" s="10"/>
      <c r="DA51" s="11"/>
      <c r="DB51" s="27" t="s">
        <v>468</v>
      </c>
    </row>
    <row r="52" spans="2:106" s="9" customFormat="1" ht="15" customHeight="1">
      <c r="B52" s="12"/>
      <c r="C52" s="13"/>
      <c r="D52" s="13"/>
      <c r="E52" s="48"/>
      <c r="F52" s="2"/>
      <c r="G52" s="13"/>
      <c r="H52" s="13"/>
      <c r="I52" s="14"/>
      <c r="J52" s="14"/>
      <c r="K52" s="14"/>
      <c r="L52" s="13"/>
      <c r="M52" s="13"/>
      <c r="N52" s="13"/>
      <c r="O52" s="16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B52" s="10"/>
      <c r="DA52" s="11"/>
      <c r="DB52" s="27" t="s">
        <v>469</v>
      </c>
    </row>
    <row r="53" spans="2:106" s="9" customFormat="1" ht="15" customHeight="1">
      <c r="B53" s="12"/>
      <c r="C53" s="13"/>
      <c r="D53" s="14">
        <v>27</v>
      </c>
      <c r="E53" s="3">
        <f>F53</f>
        <v>39620.864583333336</v>
      </c>
      <c r="F53" s="2">
        <f>Timezone!J28</f>
        <v>39620.864583333336</v>
      </c>
      <c r="G53" s="14" t="str">
        <f>IF(SUM(S26:S29)=12,R26,"Group C Winner")</f>
        <v>Group C Winner</v>
      </c>
      <c r="H53" s="14"/>
      <c r="I53" s="14">
        <f>IF(I54="","",IF(AND(I54=K54,I54&lt;&gt;"",K54&lt;&gt;""),IF(AND(I55=K55,I55&lt;&gt;"",K55&lt;&gt;""),IF(AND(I56=K56,I56&lt;&gt;"",K56&lt;&gt;""),"",I54+I55+I56),I54+I55),I54))</f>
      </c>
      <c r="J53" s="32" t="s">
        <v>4</v>
      </c>
      <c r="K53" s="14">
        <f>IF(K54="","",IF(AND(I54=K54,I54&lt;&gt;"",K54&lt;&gt;""),IF(AND(I55=K55,I55&lt;&gt;"",K55&lt;&gt;""),IF(AND(I56=K56,I56&lt;&gt;"",K56&lt;&gt;""),"",K54+K55+K56),K54+K55),K54))</f>
      </c>
      <c r="L53" s="14"/>
      <c r="M53" s="14" t="str">
        <f>IF(SUM(S33:S36)=12,R34,"Group D Runner Up")</f>
        <v>Group D Runner Up</v>
      </c>
      <c r="N53" s="13"/>
      <c r="O53" s="16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B53" s="10"/>
      <c r="DA53" s="11"/>
      <c r="DB53" s="27" t="s">
        <v>470</v>
      </c>
    </row>
    <row r="54" spans="2:106" s="9" customFormat="1" ht="15" customHeight="1">
      <c r="B54" s="12"/>
      <c r="C54" s="13"/>
      <c r="D54" s="13"/>
      <c r="E54" s="48"/>
      <c r="F54" s="2"/>
      <c r="G54" s="49" t="s">
        <v>417</v>
      </c>
      <c r="H54" s="13"/>
      <c r="I54" s="53"/>
      <c r="J54" s="32" t="s">
        <v>4</v>
      </c>
      <c r="K54" s="53"/>
      <c r="L54" s="13"/>
      <c r="M54" s="13"/>
      <c r="N54" s="13"/>
      <c r="O54" s="16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B54" s="10"/>
      <c r="DA54" s="11"/>
      <c r="DB54" s="27" t="s">
        <v>471</v>
      </c>
    </row>
    <row r="55" spans="2:106" s="9" customFormat="1" ht="15" customHeight="1">
      <c r="B55" s="12"/>
      <c r="C55" s="13"/>
      <c r="D55" s="13"/>
      <c r="E55" s="48"/>
      <c r="F55" s="2"/>
      <c r="G55" s="49" t="s">
        <v>418</v>
      </c>
      <c r="H55" s="13"/>
      <c r="I55" s="53"/>
      <c r="J55" s="32" t="s">
        <v>4</v>
      </c>
      <c r="K55" s="53"/>
      <c r="L55" s="13"/>
      <c r="M55" s="13"/>
      <c r="N55" s="13"/>
      <c r="O55" s="1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B55" s="10"/>
      <c r="DA55" s="11"/>
      <c r="DB55" s="27" t="s">
        <v>472</v>
      </c>
    </row>
    <row r="56" spans="2:106" s="9" customFormat="1" ht="15" customHeight="1">
      <c r="B56" s="12"/>
      <c r="C56" s="13"/>
      <c r="D56" s="13"/>
      <c r="E56" s="48"/>
      <c r="F56" s="2"/>
      <c r="G56" s="49" t="s">
        <v>419</v>
      </c>
      <c r="H56" s="13"/>
      <c r="I56" s="53"/>
      <c r="J56" s="32" t="s">
        <v>4</v>
      </c>
      <c r="K56" s="53"/>
      <c r="L56" s="13"/>
      <c r="M56" s="13"/>
      <c r="N56" s="13"/>
      <c r="O56" s="16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B56" s="10"/>
      <c r="DA56" s="11"/>
      <c r="DB56" s="27" t="s">
        <v>473</v>
      </c>
    </row>
    <row r="57" spans="2:106" s="9" customFormat="1" ht="15" customHeight="1">
      <c r="B57" s="12"/>
      <c r="C57" s="13"/>
      <c r="D57" s="13"/>
      <c r="E57" s="48"/>
      <c r="F57" s="2"/>
      <c r="G57" s="13"/>
      <c r="H57" s="13"/>
      <c r="I57" s="14"/>
      <c r="J57" s="14"/>
      <c r="K57" s="14"/>
      <c r="L57" s="13"/>
      <c r="M57" s="13"/>
      <c r="N57" s="13"/>
      <c r="O57" s="16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B57" s="10"/>
      <c r="DA57" s="11"/>
      <c r="DB57" s="27" t="s">
        <v>474</v>
      </c>
    </row>
    <row r="58" spans="2:106" s="9" customFormat="1" ht="15" customHeight="1">
      <c r="B58" s="12"/>
      <c r="C58" s="13"/>
      <c r="D58" s="14">
        <v>28</v>
      </c>
      <c r="E58" s="3">
        <f>F58</f>
        <v>39621.864583333336</v>
      </c>
      <c r="F58" s="2">
        <f>Timezone!J29</f>
        <v>39621.864583333336</v>
      </c>
      <c r="G58" s="14" t="str">
        <f>IF(SUM(S33:S36)=12,R33,"Group D Winner")</f>
        <v>Group D Winner</v>
      </c>
      <c r="H58" s="14"/>
      <c r="I58" s="14">
        <f>IF(I59="","",IF(AND(I59=K59,I59&lt;&gt;"",K59&lt;&gt;""),IF(AND(I60=K60,I60&lt;&gt;"",K60&lt;&gt;""),IF(AND(I61=K61,I61&lt;&gt;"",K61&lt;&gt;""),"",I59+I60+I61),I59+I60),I59))</f>
      </c>
      <c r="J58" s="32" t="s">
        <v>4</v>
      </c>
      <c r="K58" s="14">
        <f>IF(K59="","",IF(AND(I59=K59,I59&lt;&gt;"",K59&lt;&gt;""),IF(AND(I60=K60,I60&lt;&gt;"",K60&lt;&gt;""),IF(AND(I61=K61,I61&lt;&gt;"",K61&lt;&gt;""),"",K59+K60+K61),K59+K60),K59))</f>
      </c>
      <c r="L58" s="14"/>
      <c r="M58" s="14" t="str">
        <f>IF(SUM(S26:S29)=12,R27,"Group C Runner Up")</f>
        <v>Group C Runner Up</v>
      </c>
      <c r="N58" s="13"/>
      <c r="O58" s="16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B58" s="10"/>
      <c r="DA58" s="11"/>
      <c r="DB58" s="27" t="s">
        <v>475</v>
      </c>
    </row>
    <row r="59" spans="2:106" s="9" customFormat="1" ht="15" customHeight="1">
      <c r="B59" s="12"/>
      <c r="C59" s="13"/>
      <c r="D59" s="13"/>
      <c r="E59" s="13"/>
      <c r="F59" s="50"/>
      <c r="G59" s="49" t="s">
        <v>417</v>
      </c>
      <c r="H59" s="13"/>
      <c r="I59" s="53"/>
      <c r="J59" s="32" t="s">
        <v>4</v>
      </c>
      <c r="K59" s="53"/>
      <c r="L59" s="13"/>
      <c r="M59" s="13"/>
      <c r="N59" s="13"/>
      <c r="O59" s="16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B59" s="10"/>
      <c r="DA59" s="11"/>
      <c r="DB59" s="27" t="s">
        <v>476</v>
      </c>
    </row>
    <row r="60" spans="2:106" s="9" customFormat="1" ht="15" customHeight="1">
      <c r="B60" s="12"/>
      <c r="C60" s="13"/>
      <c r="D60" s="13"/>
      <c r="E60" s="13"/>
      <c r="F60" s="50"/>
      <c r="G60" s="49" t="s">
        <v>418</v>
      </c>
      <c r="H60" s="13"/>
      <c r="I60" s="53"/>
      <c r="J60" s="32" t="s">
        <v>4</v>
      </c>
      <c r="K60" s="53"/>
      <c r="L60" s="13"/>
      <c r="M60" s="13"/>
      <c r="N60" s="13"/>
      <c r="O60" s="16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B60" s="10"/>
      <c r="DA60" s="11"/>
      <c r="DB60" s="27" t="s">
        <v>477</v>
      </c>
    </row>
    <row r="61" spans="2:106" s="9" customFormat="1" ht="15" customHeight="1">
      <c r="B61" s="12"/>
      <c r="C61" s="13"/>
      <c r="D61" s="13"/>
      <c r="E61" s="13"/>
      <c r="F61" s="50"/>
      <c r="G61" s="49" t="s">
        <v>419</v>
      </c>
      <c r="H61" s="13"/>
      <c r="I61" s="53"/>
      <c r="J61" s="32" t="s">
        <v>4</v>
      </c>
      <c r="K61" s="53"/>
      <c r="L61" s="13"/>
      <c r="M61" s="13"/>
      <c r="N61" s="13"/>
      <c r="O61" s="16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B61" s="10"/>
      <c r="DA61" s="11"/>
      <c r="DB61" s="27" t="s">
        <v>478</v>
      </c>
    </row>
    <row r="62" spans="2:106" s="9" customFormat="1" ht="15" customHeight="1">
      <c r="B62" s="40"/>
      <c r="C62" s="41"/>
      <c r="D62" s="41"/>
      <c r="E62" s="41"/>
      <c r="F62" s="51"/>
      <c r="G62" s="41"/>
      <c r="H62" s="41"/>
      <c r="I62" s="41"/>
      <c r="J62" s="36"/>
      <c r="K62" s="41"/>
      <c r="L62" s="41"/>
      <c r="M62" s="41"/>
      <c r="N62" s="41"/>
      <c r="O62" s="43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B62" s="10"/>
      <c r="DA62" s="11"/>
      <c r="DB62" s="27" t="s">
        <v>479</v>
      </c>
    </row>
    <row r="63" spans="10:106" s="9" customFormat="1" ht="15" customHeight="1">
      <c r="J63" s="52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B63" s="10"/>
      <c r="DA63" s="11"/>
      <c r="DB63" s="27" t="s">
        <v>480</v>
      </c>
    </row>
    <row r="64" spans="2:106" s="9" customFormat="1" ht="15" customHeight="1">
      <c r="B64" s="96" t="s">
        <v>58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8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B64" s="10"/>
      <c r="DA64" s="11"/>
      <c r="DB64" s="27" t="s">
        <v>481</v>
      </c>
    </row>
    <row r="65" spans="2:106" s="9" customFormat="1" ht="15" customHeight="1">
      <c r="B65" s="12"/>
      <c r="C65" s="13"/>
      <c r="D65" s="13"/>
      <c r="E65" s="13"/>
      <c r="F65" s="13"/>
      <c r="G65" s="13"/>
      <c r="H65" s="13"/>
      <c r="I65" s="13"/>
      <c r="J65" s="14"/>
      <c r="K65" s="13"/>
      <c r="L65" s="13"/>
      <c r="M65" s="13"/>
      <c r="N65" s="13"/>
      <c r="O65" s="16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B65" s="10"/>
      <c r="DA65" s="11"/>
      <c r="DB65" s="27" t="s">
        <v>482</v>
      </c>
    </row>
    <row r="66" spans="2:106" s="9" customFormat="1" ht="15" customHeight="1">
      <c r="B66" s="12"/>
      <c r="C66" s="13"/>
      <c r="D66" s="14">
        <v>29</v>
      </c>
      <c r="E66" s="3">
        <f>F66</f>
        <v>39624.864583333336</v>
      </c>
      <c r="F66" s="2">
        <f>Timezone!J30</f>
        <v>39624.864583333336</v>
      </c>
      <c r="G66" s="14" t="str">
        <f>IF(AND(I43&lt;&gt;"",K43&lt;&gt;"",I43&lt;&gt;K43),IF(I43&gt;K43,G43,M43),"Match 25 Winner")</f>
        <v>Match 25 Winner</v>
      </c>
      <c r="H66" s="13"/>
      <c r="I66" s="14">
        <f>IF(I67="","",IF(AND(I67=K67,I67&lt;&gt;"",K67&lt;&gt;""),IF(AND(I68=K68,I68&lt;&gt;"",K68&lt;&gt;""),IF(AND(I69=K69,I69&lt;&gt;"",K69&lt;&gt;""),"",I67+I68+I69),I67+I68),I67))</f>
      </c>
      <c r="J66" s="32" t="s">
        <v>4</v>
      </c>
      <c r="K66" s="14">
        <f>IF(K67="","",IF(AND(I67=K67,I67&lt;&gt;"",K67&lt;&gt;""),IF(AND(I68=K68,I68&lt;&gt;"",K68&lt;&gt;""),IF(AND(I69=K69,I69&lt;&gt;"",K69&lt;&gt;""),"",K67+K68+K69),K67+K68),K67))</f>
      </c>
      <c r="L66" s="13"/>
      <c r="M66" s="14" t="str">
        <f>IF(AND(I48&lt;&gt;"",K48&lt;&gt;"",I48&lt;&gt;K48),IF(I48&gt;K48,G48,M48),"Match 26 Winner")</f>
        <v>Match 26 Winner</v>
      </c>
      <c r="N66" s="13"/>
      <c r="O66" s="16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B66" s="10"/>
      <c r="DA66" s="11"/>
      <c r="DB66" s="27" t="s">
        <v>483</v>
      </c>
    </row>
    <row r="67" spans="2:106" s="9" customFormat="1" ht="15" customHeight="1">
      <c r="B67" s="12"/>
      <c r="C67" s="13"/>
      <c r="D67" s="13"/>
      <c r="E67" s="48"/>
      <c r="F67" s="2"/>
      <c r="G67" s="49" t="s">
        <v>417</v>
      </c>
      <c r="H67" s="13"/>
      <c r="I67" s="53"/>
      <c r="J67" s="32" t="s">
        <v>4</v>
      </c>
      <c r="K67" s="53"/>
      <c r="L67" s="13"/>
      <c r="M67" s="13"/>
      <c r="N67" s="13"/>
      <c r="O67" s="16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B67" s="10"/>
      <c r="DA67" s="11"/>
      <c r="DB67" s="27" t="s">
        <v>484</v>
      </c>
    </row>
    <row r="68" spans="2:106" s="9" customFormat="1" ht="15" customHeight="1">
      <c r="B68" s="12"/>
      <c r="C68" s="13"/>
      <c r="D68" s="13"/>
      <c r="E68" s="48"/>
      <c r="F68" s="2"/>
      <c r="G68" s="49" t="s">
        <v>418</v>
      </c>
      <c r="H68" s="13"/>
      <c r="I68" s="53"/>
      <c r="J68" s="32" t="s">
        <v>4</v>
      </c>
      <c r="K68" s="53"/>
      <c r="L68" s="13"/>
      <c r="M68" s="13"/>
      <c r="N68" s="13"/>
      <c r="O68" s="16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B68" s="10"/>
      <c r="DA68" s="11"/>
      <c r="DB68" s="27" t="s">
        <v>485</v>
      </c>
    </row>
    <row r="69" spans="2:106" s="9" customFormat="1" ht="15" customHeight="1">
      <c r="B69" s="12"/>
      <c r="C69" s="13"/>
      <c r="D69" s="13"/>
      <c r="E69" s="48"/>
      <c r="F69" s="2"/>
      <c r="G69" s="49" t="s">
        <v>419</v>
      </c>
      <c r="H69" s="13"/>
      <c r="I69" s="53"/>
      <c r="J69" s="32" t="s">
        <v>4</v>
      </c>
      <c r="K69" s="53"/>
      <c r="L69" s="13"/>
      <c r="M69" s="13"/>
      <c r="N69" s="13"/>
      <c r="O69" s="1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B69" s="10"/>
      <c r="DA69" s="11"/>
      <c r="DB69" s="27" t="s">
        <v>486</v>
      </c>
    </row>
    <row r="70" spans="2:106" s="9" customFormat="1" ht="15" customHeight="1">
      <c r="B70" s="12"/>
      <c r="C70" s="13"/>
      <c r="D70" s="13"/>
      <c r="E70" s="48"/>
      <c r="F70" s="2"/>
      <c r="G70" s="13"/>
      <c r="H70" s="13"/>
      <c r="I70" s="14"/>
      <c r="J70" s="14"/>
      <c r="K70" s="14"/>
      <c r="L70" s="13"/>
      <c r="M70" s="13"/>
      <c r="N70" s="13"/>
      <c r="O70" s="16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B70" s="10"/>
      <c r="DA70" s="11"/>
      <c r="DB70" s="27" t="s">
        <v>487</v>
      </c>
    </row>
    <row r="71" spans="2:106" s="9" customFormat="1" ht="15" customHeight="1">
      <c r="B71" s="12"/>
      <c r="C71" s="13"/>
      <c r="D71" s="14">
        <v>30</v>
      </c>
      <c r="E71" s="3">
        <f>F71</f>
        <v>39625.864583333336</v>
      </c>
      <c r="F71" s="2">
        <f>Timezone!J31</f>
        <v>39625.864583333336</v>
      </c>
      <c r="G71" s="14" t="str">
        <f>IF(AND(I53&lt;&gt;"",K53&lt;&gt;"",I53&lt;&gt;K53),IF(I53&gt;K53,G53,M53),"Match 27 Winner")</f>
        <v>Match 27 Winner</v>
      </c>
      <c r="H71" s="13"/>
      <c r="I71" s="14">
        <f>IF(I72="","",IF(AND(I72=K72,I72&lt;&gt;"",K72&lt;&gt;""),IF(AND(I73=K73,I73&lt;&gt;"",K73&lt;&gt;""),IF(AND(I74=K74,I74&lt;&gt;"",K74&lt;&gt;""),"",I72+I73+I74),I72+I73),I72))</f>
      </c>
      <c r="J71" s="32" t="s">
        <v>4</v>
      </c>
      <c r="K71" s="14">
        <f>IF(K72="","",IF(AND(I72=K72,I72&lt;&gt;"",K72&lt;&gt;""),IF(AND(I73=K73,I73&lt;&gt;"",K73&lt;&gt;""),IF(AND(I74=K74,I74&lt;&gt;"",K74&lt;&gt;""),"",K72+K73+K74),K72+K73),K72))</f>
      </c>
      <c r="L71" s="13"/>
      <c r="M71" s="14" t="str">
        <f>IF(AND(I58&lt;&gt;"",K58&lt;&gt;"",I58&lt;&gt;K58),IF(I58&gt;K58,G58,M58),"Match 28 Winner")</f>
        <v>Match 28 Winner</v>
      </c>
      <c r="N71" s="13"/>
      <c r="O71" s="1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B71" s="10"/>
      <c r="DA71" s="11"/>
      <c r="DB71" s="27" t="s">
        <v>488</v>
      </c>
    </row>
    <row r="72" spans="2:106" s="9" customFormat="1" ht="15" customHeight="1">
      <c r="B72" s="12"/>
      <c r="C72" s="13"/>
      <c r="D72" s="13"/>
      <c r="E72" s="13"/>
      <c r="F72" s="50"/>
      <c r="G72" s="49" t="s">
        <v>417</v>
      </c>
      <c r="H72" s="13"/>
      <c r="I72" s="53"/>
      <c r="J72" s="32" t="s">
        <v>4</v>
      </c>
      <c r="K72" s="53"/>
      <c r="L72" s="13"/>
      <c r="M72" s="13"/>
      <c r="N72" s="13"/>
      <c r="O72" s="16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B72" s="10"/>
      <c r="DA72" s="11"/>
      <c r="DB72" s="27" t="s">
        <v>489</v>
      </c>
    </row>
    <row r="73" spans="2:106" s="9" customFormat="1" ht="15" customHeight="1">
      <c r="B73" s="12"/>
      <c r="C73" s="13"/>
      <c r="D73" s="13"/>
      <c r="E73" s="13"/>
      <c r="F73" s="50"/>
      <c r="G73" s="49" t="s">
        <v>418</v>
      </c>
      <c r="H73" s="13"/>
      <c r="I73" s="53"/>
      <c r="J73" s="32" t="s">
        <v>4</v>
      </c>
      <c r="K73" s="53"/>
      <c r="L73" s="13"/>
      <c r="M73" s="13"/>
      <c r="N73" s="13"/>
      <c r="O73" s="1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B73" s="10"/>
      <c r="DA73" s="11"/>
      <c r="DB73" s="27" t="s">
        <v>490</v>
      </c>
    </row>
    <row r="74" spans="2:106" s="9" customFormat="1" ht="15" customHeight="1">
      <c r="B74" s="12"/>
      <c r="C74" s="13"/>
      <c r="D74" s="13"/>
      <c r="E74" s="13"/>
      <c r="F74" s="50"/>
      <c r="G74" s="49" t="s">
        <v>419</v>
      </c>
      <c r="H74" s="13"/>
      <c r="I74" s="53"/>
      <c r="J74" s="32" t="s">
        <v>4</v>
      </c>
      <c r="K74" s="53"/>
      <c r="L74" s="13"/>
      <c r="M74" s="13"/>
      <c r="N74" s="13"/>
      <c r="O74" s="16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B74" s="10"/>
      <c r="DA74" s="11"/>
      <c r="DB74" s="27" t="s">
        <v>491</v>
      </c>
    </row>
    <row r="75" spans="2:106" s="9" customFormat="1" ht="15" customHeight="1">
      <c r="B75" s="40"/>
      <c r="C75" s="41"/>
      <c r="D75" s="41"/>
      <c r="E75" s="41"/>
      <c r="F75" s="41"/>
      <c r="G75" s="41"/>
      <c r="H75" s="41"/>
      <c r="I75" s="41"/>
      <c r="J75" s="36"/>
      <c r="K75" s="41"/>
      <c r="L75" s="41"/>
      <c r="M75" s="41"/>
      <c r="N75" s="41"/>
      <c r="O75" s="43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B75" s="10"/>
      <c r="DA75" s="11"/>
      <c r="DB75" s="27" t="s">
        <v>492</v>
      </c>
    </row>
    <row r="76" spans="10:106" s="9" customFormat="1" ht="15" customHeight="1">
      <c r="J76" s="52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B76" s="10"/>
      <c r="DA76" s="11"/>
      <c r="DB76" s="27" t="s">
        <v>493</v>
      </c>
    </row>
    <row r="77" spans="2:106" s="9" customFormat="1" ht="15" customHeight="1">
      <c r="B77" s="96" t="s">
        <v>59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8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B77" s="10"/>
      <c r="DA77" s="11"/>
      <c r="DB77" s="27" t="s">
        <v>494</v>
      </c>
    </row>
    <row r="78" spans="2:106" s="9" customFormat="1" ht="15" customHeight="1">
      <c r="B78" s="12"/>
      <c r="C78" s="13"/>
      <c r="D78" s="13"/>
      <c r="E78" s="13"/>
      <c r="F78" s="13"/>
      <c r="G78" s="13"/>
      <c r="H78" s="13"/>
      <c r="I78" s="13"/>
      <c r="J78" s="14"/>
      <c r="K78" s="13"/>
      <c r="L78" s="13"/>
      <c r="M78" s="13"/>
      <c r="N78" s="13"/>
      <c r="O78" s="16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B78" s="10"/>
      <c r="DA78" s="11"/>
      <c r="DB78" s="27" t="s">
        <v>495</v>
      </c>
    </row>
    <row r="79" spans="2:106" s="9" customFormat="1" ht="15" customHeight="1">
      <c r="B79" s="12"/>
      <c r="C79" s="13"/>
      <c r="D79" s="14">
        <v>31</v>
      </c>
      <c r="E79" s="3">
        <f>F79</f>
        <v>39628.864583333336</v>
      </c>
      <c r="F79" s="2">
        <f>Timezone!J32</f>
        <v>39628.864583333336</v>
      </c>
      <c r="G79" s="14" t="str">
        <f>IF(AND(I66&lt;&gt;"",K66&lt;&gt;"",I66&lt;&gt;K66),IF(I66&gt;K66,G66,M66),"Match 29 Winner")</f>
        <v>Match 29 Winner</v>
      </c>
      <c r="H79" s="14"/>
      <c r="I79" s="14">
        <f>IF(I80="","",IF(AND(I80=K80,I80&lt;&gt;"",K80&lt;&gt;""),IF(AND(I81=K81,I81&lt;&gt;"",K81&lt;&gt;""),IF(AND(I82=K82,I82&lt;&gt;"",K82&lt;&gt;""),"",I80+I81+I82),I80+I81),I80))</f>
      </c>
      <c r="J79" s="32" t="s">
        <v>4</v>
      </c>
      <c r="K79" s="14">
        <f>IF(K80="","",IF(AND(I80=K80,I80&lt;&gt;"",K80&lt;&gt;""),IF(AND(I81=K81,I81&lt;&gt;"",K81&lt;&gt;""),IF(AND(I82=K82,I82&lt;&gt;"",K82&lt;&gt;""),"",K80+K81+K82),K80+K81),K80))</f>
      </c>
      <c r="L79" s="14"/>
      <c r="M79" s="14" t="str">
        <f>IF(AND(I71&lt;&gt;"",K71&lt;&gt;"",I71&lt;&gt;K71),IF(I71&gt;K71,G71,M71),"Match 30 Winner")</f>
        <v>Match 30 Winner</v>
      </c>
      <c r="N79" s="13"/>
      <c r="O79" s="1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B79" s="10"/>
      <c r="DA79" s="11"/>
      <c r="DB79" s="27" t="s">
        <v>496</v>
      </c>
    </row>
    <row r="80" spans="2:106" s="9" customFormat="1" ht="15" customHeight="1">
      <c r="B80" s="12"/>
      <c r="C80" s="13"/>
      <c r="D80" s="13"/>
      <c r="E80" s="13"/>
      <c r="F80" s="13"/>
      <c r="G80" s="49" t="s">
        <v>417</v>
      </c>
      <c r="H80" s="13"/>
      <c r="I80" s="53"/>
      <c r="J80" s="32" t="s">
        <v>4</v>
      </c>
      <c r="K80" s="53"/>
      <c r="L80" s="13"/>
      <c r="M80" s="13"/>
      <c r="N80" s="13"/>
      <c r="O80" s="16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B80" s="10"/>
      <c r="DA80" s="11"/>
      <c r="DB80" s="27" t="s">
        <v>497</v>
      </c>
    </row>
    <row r="81" spans="2:106" s="9" customFormat="1" ht="15" customHeight="1">
      <c r="B81" s="12"/>
      <c r="C81" s="13"/>
      <c r="D81" s="13"/>
      <c r="E81" s="13"/>
      <c r="F81" s="13"/>
      <c r="G81" s="49" t="s">
        <v>418</v>
      </c>
      <c r="H81" s="13"/>
      <c r="I81" s="53"/>
      <c r="J81" s="32" t="s">
        <v>4</v>
      </c>
      <c r="K81" s="53"/>
      <c r="L81" s="13"/>
      <c r="M81" s="13"/>
      <c r="N81" s="13"/>
      <c r="O81" s="16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B81" s="10"/>
      <c r="DA81" s="11"/>
      <c r="DB81" s="27" t="s">
        <v>498</v>
      </c>
    </row>
    <row r="82" spans="2:106" s="9" customFormat="1" ht="15" customHeight="1">
      <c r="B82" s="12"/>
      <c r="C82" s="13"/>
      <c r="D82" s="13"/>
      <c r="E82" s="13"/>
      <c r="F82" s="13"/>
      <c r="G82" s="49" t="s">
        <v>419</v>
      </c>
      <c r="H82" s="13"/>
      <c r="I82" s="53"/>
      <c r="J82" s="32" t="s">
        <v>4</v>
      </c>
      <c r="K82" s="53"/>
      <c r="L82" s="13"/>
      <c r="M82" s="13"/>
      <c r="N82" s="13"/>
      <c r="O82" s="16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B82" s="10"/>
      <c r="DA82" s="11"/>
      <c r="DB82" s="27" t="s">
        <v>499</v>
      </c>
    </row>
    <row r="83" spans="2:106" s="9" customFormat="1" ht="15" customHeight="1">
      <c r="B83" s="40"/>
      <c r="C83" s="41"/>
      <c r="D83" s="41"/>
      <c r="E83" s="41"/>
      <c r="F83" s="41"/>
      <c r="G83" s="41"/>
      <c r="H83" s="41"/>
      <c r="I83" s="41"/>
      <c r="J83" s="36"/>
      <c r="K83" s="41"/>
      <c r="L83" s="41"/>
      <c r="M83" s="41"/>
      <c r="N83" s="41"/>
      <c r="O83" s="43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B83" s="10"/>
      <c r="DA83" s="11"/>
      <c r="DB83" s="27" t="s">
        <v>500</v>
      </c>
    </row>
    <row r="84" spans="10:106" s="9" customFormat="1" ht="15" customHeight="1">
      <c r="J84" s="52"/>
      <c r="AB84" s="10"/>
      <c r="DA84" s="11"/>
      <c r="DB84" s="27" t="s">
        <v>501</v>
      </c>
    </row>
    <row r="85" spans="10:106" s="9" customFormat="1" ht="15" customHeight="1">
      <c r="J85" s="52"/>
      <c r="AB85" s="10"/>
      <c r="DA85" s="11"/>
      <c r="DB85" s="27" t="s">
        <v>502</v>
      </c>
    </row>
    <row r="86" spans="10:106" s="9" customFormat="1" ht="15" customHeight="1">
      <c r="J86" s="52"/>
      <c r="AB86" s="10"/>
      <c r="DA86" s="11"/>
      <c r="DB86" s="27" t="s">
        <v>503</v>
      </c>
    </row>
    <row r="87" spans="2:106" ht="12.75">
      <c r="B87" s="58"/>
      <c r="C87" s="59"/>
      <c r="D87" s="59"/>
      <c r="E87" s="59"/>
      <c r="F87" s="59"/>
      <c r="G87" s="59"/>
      <c r="H87" s="59"/>
      <c r="I87" s="59"/>
      <c r="J87" s="60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61"/>
      <c r="DA87" s="7"/>
      <c r="DB87" s="27" t="s">
        <v>504</v>
      </c>
    </row>
    <row r="88" spans="2:106" ht="30.75" customHeight="1">
      <c r="B88" s="62"/>
      <c r="C88" s="63"/>
      <c r="D88" s="90" t="s">
        <v>423</v>
      </c>
      <c r="E88" s="63"/>
      <c r="F88" s="63"/>
      <c r="G88" s="63"/>
      <c r="H88" s="63"/>
      <c r="I88" s="63"/>
      <c r="J88" s="87"/>
      <c r="K88" s="88"/>
      <c r="L88" s="88"/>
      <c r="M88" s="89" t="str">
        <f>UPPER(IF(AND(I79&lt;&gt;"",K79&lt;&gt;"",I79&lt;&gt;K79),IF(I79&gt;K79,G79,M79),"MATCH 31 WINNER"))</f>
        <v>MATCH 31 WINNER</v>
      </c>
      <c r="N88" s="88"/>
      <c r="O88" s="88"/>
      <c r="P88" s="88"/>
      <c r="Q88" s="88"/>
      <c r="R88" s="88"/>
      <c r="S88" s="63"/>
      <c r="T88" s="63"/>
      <c r="U88" s="63"/>
      <c r="V88" s="63"/>
      <c r="W88" s="63"/>
      <c r="X88" s="63"/>
      <c r="Y88" s="63"/>
      <c r="Z88" s="64"/>
      <c r="DA88" s="7"/>
      <c r="DB88" s="27" t="s">
        <v>505</v>
      </c>
    </row>
    <row r="89" spans="2:106" ht="12.75">
      <c r="B89" s="65"/>
      <c r="C89" s="66"/>
      <c r="D89" s="66"/>
      <c r="E89" s="66"/>
      <c r="F89" s="66"/>
      <c r="G89" s="66"/>
      <c r="H89" s="66"/>
      <c r="I89" s="66"/>
      <c r="J89" s="67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8"/>
      <c r="DA89" s="7"/>
      <c r="DB89" s="27" t="s">
        <v>506</v>
      </c>
    </row>
    <row r="90" spans="105:106" ht="12.75">
      <c r="DA90" s="7"/>
      <c r="DB90" s="27" t="s">
        <v>507</v>
      </c>
    </row>
    <row r="91" spans="105:106" ht="12.75">
      <c r="DA91" s="7"/>
      <c r="DB91" s="27" t="s">
        <v>508</v>
      </c>
    </row>
    <row r="92" spans="105:106" ht="12.75">
      <c r="DA92" s="7"/>
      <c r="DB92" s="27" t="s">
        <v>509</v>
      </c>
    </row>
    <row r="93" spans="105:106" ht="12.75">
      <c r="DA93" s="7"/>
      <c r="DB93" s="27" t="s">
        <v>510</v>
      </c>
    </row>
    <row r="94" spans="105:106" ht="12.75">
      <c r="DA94" s="7"/>
      <c r="DB94" s="27" t="s">
        <v>511</v>
      </c>
    </row>
    <row r="95" spans="105:106" ht="12.75">
      <c r="DA95" s="7"/>
      <c r="DB95" s="27" t="s">
        <v>512</v>
      </c>
    </row>
    <row r="96" spans="105:106" ht="12.75">
      <c r="DA96" s="7"/>
      <c r="DB96" s="27" t="s">
        <v>513</v>
      </c>
    </row>
    <row r="97" spans="105:106" ht="12.75">
      <c r="DA97" s="7"/>
      <c r="DB97" s="27" t="s">
        <v>514</v>
      </c>
    </row>
    <row r="98" spans="105:106" ht="12.75">
      <c r="DA98" s="7"/>
      <c r="DB98" s="27" t="s">
        <v>515</v>
      </c>
    </row>
    <row r="99" spans="105:106" ht="12.75">
      <c r="DA99" s="7"/>
      <c r="DB99" s="27" t="s">
        <v>516</v>
      </c>
    </row>
    <row r="100" spans="105:106" ht="12.75">
      <c r="DA100" s="7"/>
      <c r="DB100" s="27" t="s">
        <v>517</v>
      </c>
    </row>
    <row r="101" spans="105:106" ht="12.75">
      <c r="DA101" s="7"/>
      <c r="DB101" s="27" t="s">
        <v>518</v>
      </c>
    </row>
    <row r="102" spans="105:106" ht="12.75">
      <c r="DA102" s="7"/>
      <c r="DB102" s="27" t="s">
        <v>519</v>
      </c>
    </row>
    <row r="103" spans="105:106" ht="12.75">
      <c r="DA103" s="7"/>
      <c r="DB103" s="27" t="s">
        <v>520</v>
      </c>
    </row>
    <row r="104" spans="105:106" ht="12.75">
      <c r="DA104" s="7"/>
      <c r="DB104" s="27" t="s">
        <v>521</v>
      </c>
    </row>
    <row r="105" spans="105:106" ht="12.75">
      <c r="DA105" s="7"/>
      <c r="DB105" s="27" t="s">
        <v>522</v>
      </c>
    </row>
    <row r="106" spans="105:106" ht="12.75">
      <c r="DA106" s="7"/>
      <c r="DB106" s="27" t="s">
        <v>523</v>
      </c>
    </row>
    <row r="107" spans="105:106" ht="12.75">
      <c r="DA107" s="7"/>
      <c r="DB107" s="27" t="s">
        <v>524</v>
      </c>
    </row>
    <row r="108" spans="105:106" ht="12.75">
      <c r="DA108" s="7"/>
      <c r="DB108" s="27" t="s">
        <v>525</v>
      </c>
    </row>
    <row r="109" spans="105:106" ht="12.75">
      <c r="DA109" s="7"/>
      <c r="DB109" s="27" t="s">
        <v>526</v>
      </c>
    </row>
    <row r="110" spans="105:106" ht="12.75">
      <c r="DA110" s="7"/>
      <c r="DB110" s="27" t="s">
        <v>527</v>
      </c>
    </row>
    <row r="111" spans="105:106" ht="12.75">
      <c r="DA111" s="7"/>
      <c r="DB111" s="27" t="s">
        <v>528</v>
      </c>
    </row>
    <row r="112" spans="105:106" ht="12.75">
      <c r="DA112" s="7"/>
      <c r="DB112" s="27" t="s">
        <v>529</v>
      </c>
    </row>
    <row r="113" spans="105:106" ht="12.75">
      <c r="DA113" s="7"/>
      <c r="DB113" s="27" t="s">
        <v>530</v>
      </c>
    </row>
    <row r="114" spans="105:106" ht="12.75">
      <c r="DA114" s="7"/>
      <c r="DB114" s="27" t="s">
        <v>531</v>
      </c>
    </row>
    <row r="115" spans="105:106" ht="12.75">
      <c r="DA115" s="7"/>
      <c r="DB115" s="27" t="s">
        <v>532</v>
      </c>
    </row>
    <row r="116" spans="105:106" ht="12.75">
      <c r="DA116" s="7"/>
      <c r="DB116" s="27" t="s">
        <v>533</v>
      </c>
    </row>
    <row r="117" spans="105:106" ht="12.75">
      <c r="DA117" s="7"/>
      <c r="DB117" s="27" t="s">
        <v>534</v>
      </c>
    </row>
    <row r="118" spans="105:106" ht="12.75">
      <c r="DA118" s="7"/>
      <c r="DB118" s="27" t="s">
        <v>535</v>
      </c>
    </row>
    <row r="119" spans="105:106" ht="12.75">
      <c r="DA119" s="7"/>
      <c r="DB119" s="27" t="s">
        <v>536</v>
      </c>
    </row>
    <row r="120" spans="105:106" ht="12.75">
      <c r="DA120" s="7"/>
      <c r="DB120" s="27" t="s">
        <v>537</v>
      </c>
    </row>
    <row r="121" spans="105:106" ht="12.75">
      <c r="DA121" s="7"/>
      <c r="DB121" s="27" t="s">
        <v>538</v>
      </c>
    </row>
    <row r="122" spans="105:106" ht="12.75">
      <c r="DA122" s="7"/>
      <c r="DB122" s="27" t="s">
        <v>539</v>
      </c>
    </row>
    <row r="123" spans="105:106" ht="12.75">
      <c r="DA123" s="7"/>
      <c r="DB123" s="27" t="s">
        <v>540</v>
      </c>
    </row>
    <row r="124" spans="105:106" ht="12.75">
      <c r="DA124" s="7"/>
      <c r="DB124" s="27" t="s">
        <v>541</v>
      </c>
    </row>
    <row r="125" spans="105:106" ht="12.75">
      <c r="DA125" s="7"/>
      <c r="DB125" s="27" t="s">
        <v>542</v>
      </c>
    </row>
    <row r="126" spans="105:106" ht="12.75">
      <c r="DA126" s="7"/>
      <c r="DB126" s="27" t="s">
        <v>543</v>
      </c>
    </row>
    <row r="127" spans="105:106" ht="12.75">
      <c r="DA127" s="7"/>
      <c r="DB127" s="27" t="s">
        <v>544</v>
      </c>
    </row>
    <row r="128" spans="105:106" ht="12.75">
      <c r="DA128" s="7"/>
      <c r="DB128" s="27" t="s">
        <v>545</v>
      </c>
    </row>
    <row r="129" spans="105:106" ht="12.75">
      <c r="DA129" s="7"/>
      <c r="DB129" s="27" t="s">
        <v>546</v>
      </c>
    </row>
    <row r="130" spans="105:106" ht="12.75">
      <c r="DA130" s="7"/>
      <c r="DB130" s="27" t="s">
        <v>547</v>
      </c>
    </row>
    <row r="131" spans="105:106" ht="12.75">
      <c r="DA131" s="7"/>
      <c r="DB131" s="27" t="s">
        <v>548</v>
      </c>
    </row>
    <row r="132" spans="105:106" ht="12.75">
      <c r="DA132" s="7"/>
      <c r="DB132" s="27" t="s">
        <v>549</v>
      </c>
    </row>
    <row r="133" spans="105:106" ht="12.75">
      <c r="DA133" s="7"/>
      <c r="DB133" s="27" t="s">
        <v>550</v>
      </c>
    </row>
    <row r="134" spans="105:106" ht="12.75">
      <c r="DA134" s="7"/>
      <c r="DB134" s="27" t="s">
        <v>551</v>
      </c>
    </row>
    <row r="135" spans="105:106" ht="12.75">
      <c r="DA135" s="7"/>
      <c r="DB135" s="27" t="s">
        <v>552</v>
      </c>
    </row>
    <row r="136" spans="105:106" ht="12.75">
      <c r="DA136" s="7"/>
      <c r="DB136" s="27" t="s">
        <v>553</v>
      </c>
    </row>
    <row r="137" spans="105:106" ht="12.75">
      <c r="DA137" s="7"/>
      <c r="DB137" s="27" t="s">
        <v>554</v>
      </c>
    </row>
    <row r="138" spans="105:106" ht="12.75">
      <c r="DA138" s="7"/>
      <c r="DB138" s="27" t="s">
        <v>555</v>
      </c>
    </row>
    <row r="139" spans="105:106" ht="12.75">
      <c r="DA139" s="7"/>
      <c r="DB139" s="27" t="s">
        <v>556</v>
      </c>
    </row>
    <row r="140" spans="105:106" ht="12.75">
      <c r="DA140" s="7"/>
      <c r="DB140" s="27" t="s">
        <v>557</v>
      </c>
    </row>
    <row r="141" spans="105:106" ht="12.75">
      <c r="DA141" s="7"/>
      <c r="DB141" s="27" t="s">
        <v>558</v>
      </c>
    </row>
    <row r="142" spans="105:106" ht="12.75">
      <c r="DA142" s="7"/>
      <c r="DB142" s="27" t="s">
        <v>559</v>
      </c>
    </row>
    <row r="143" spans="105:106" ht="12.75">
      <c r="DA143" s="7"/>
      <c r="DB143" s="27" t="s">
        <v>560</v>
      </c>
    </row>
    <row r="144" spans="105:106" ht="12.75">
      <c r="DA144" s="7"/>
      <c r="DB144" s="27" t="s">
        <v>561</v>
      </c>
    </row>
    <row r="145" spans="105:106" ht="12.75">
      <c r="DA145" s="7"/>
      <c r="DB145" s="27" t="s">
        <v>562</v>
      </c>
    </row>
    <row r="146" spans="105:106" ht="12.75">
      <c r="DA146" s="7"/>
      <c r="DB146" s="27" t="s">
        <v>563</v>
      </c>
    </row>
    <row r="147" spans="105:106" ht="12.75">
      <c r="DA147" s="7"/>
      <c r="DB147" s="27" t="s">
        <v>564</v>
      </c>
    </row>
    <row r="148" spans="105:106" ht="12.75">
      <c r="DA148" s="7"/>
      <c r="DB148" s="27" t="s">
        <v>565</v>
      </c>
    </row>
    <row r="149" spans="105:106" ht="12.75">
      <c r="DA149" s="7"/>
      <c r="DB149" s="27" t="s">
        <v>566</v>
      </c>
    </row>
    <row r="150" spans="105:106" ht="12.75">
      <c r="DA150" s="7"/>
      <c r="DB150" s="7"/>
    </row>
    <row r="151" spans="105:106" ht="12.75">
      <c r="DA151" s="7"/>
      <c r="DB151" s="7"/>
    </row>
    <row r="152" spans="105:106" ht="12.75">
      <c r="DA152" s="7"/>
      <c r="DB152" s="7"/>
    </row>
    <row r="153" spans="105:106" ht="12.75">
      <c r="DA153" s="7"/>
      <c r="DB153" s="7"/>
    </row>
    <row r="154" spans="105:106" ht="12.75">
      <c r="DA154" s="7"/>
      <c r="DB154" s="7"/>
    </row>
    <row r="155" spans="105:106" ht="12.75">
      <c r="DA155" s="7"/>
      <c r="DB155" s="7"/>
    </row>
    <row r="156" spans="105:106" ht="12.75">
      <c r="DA156" s="7"/>
      <c r="DB156" s="7"/>
    </row>
    <row r="157" spans="105:106" ht="12.75">
      <c r="DA157" s="7"/>
      <c r="DB157" s="7"/>
    </row>
    <row r="158" spans="105:106" ht="12.75">
      <c r="DA158" s="7"/>
      <c r="DB158" s="7"/>
    </row>
    <row r="159" spans="105:106" ht="12.75">
      <c r="DA159" s="7"/>
      <c r="DB159" s="7"/>
    </row>
    <row r="160" spans="105:106" ht="12.75">
      <c r="DA160" s="7"/>
      <c r="DB160" s="7"/>
    </row>
    <row r="161" spans="105:106" ht="12.75">
      <c r="DA161" s="7"/>
      <c r="DB161" s="7"/>
    </row>
    <row r="162" spans="29:30" ht="12.75">
      <c r="AC162" s="7"/>
      <c r="AD162" s="7"/>
    </row>
  </sheetData>
  <sheetProtection password="ECEE" sheet="1" objects="1" scenarios="1"/>
  <mergeCells count="10">
    <mergeCell ref="B64:O64"/>
    <mergeCell ref="B77:O77"/>
    <mergeCell ref="Q9:Y9"/>
    <mergeCell ref="C9:N9"/>
    <mergeCell ref="I11:K11"/>
    <mergeCell ref="I4:K4"/>
    <mergeCell ref="I2:K2"/>
    <mergeCell ref="B7:Z7"/>
    <mergeCell ref="B41:O41"/>
    <mergeCell ref="O2:Y4"/>
  </mergeCells>
  <conditionalFormatting sqref="G37">
    <cfRule type="expression" priority="1" dxfId="0" stopIfTrue="1">
      <formula>I37&gt;K37</formula>
    </cfRule>
  </conditionalFormatting>
  <conditionalFormatting sqref="M37">
    <cfRule type="expression" priority="2" dxfId="0" stopIfTrue="1">
      <formula>I37&lt;K37</formula>
    </cfRule>
  </conditionalFormatting>
  <conditionalFormatting sqref="G13:G36">
    <cfRule type="expression" priority="3" dxfId="0" stopIfTrue="1">
      <formula>AND(ISNUMBER(I13),ISNUMBER(K13),I13&gt;K13)</formula>
    </cfRule>
  </conditionalFormatting>
  <conditionalFormatting sqref="M13:M36">
    <cfRule type="expression" priority="4" dxfId="0" stopIfTrue="1">
      <formula>AND(ISNUMBER(I13),ISNUMBER(K13),I13&lt;K13)</formula>
    </cfRule>
  </conditionalFormatting>
  <conditionalFormatting sqref="G43 G48 G53 G58 G66 G71 G79">
    <cfRule type="expression" priority="5" dxfId="1" stopIfTrue="1">
      <formula>AND(ISNUMBER(I43),ISNUMBER(K43),I43&gt;K43)</formula>
    </cfRule>
  </conditionalFormatting>
  <conditionalFormatting sqref="M43 M58 M53 M48 M66 M71 M79">
    <cfRule type="expression" priority="6" dxfId="1" stopIfTrue="1">
      <formula>AND(ISNUMBER(I43),ISNUMBER(K43),K43&gt;I43)</formula>
    </cfRule>
  </conditionalFormatting>
  <conditionalFormatting sqref="R33:R34">
    <cfRule type="expression" priority="7" dxfId="1" stopIfTrue="1">
      <formula>$S$33+$S$34+$S$35+$S$36=12</formula>
    </cfRule>
  </conditionalFormatting>
  <conditionalFormatting sqref="R26:R27">
    <cfRule type="expression" priority="8" dxfId="1" stopIfTrue="1">
      <formula>$S$26+$S$27+$S$28+$S$29=12</formula>
    </cfRule>
  </conditionalFormatting>
  <conditionalFormatting sqref="R19:R20">
    <cfRule type="expression" priority="9" dxfId="1" stopIfTrue="1">
      <formula>$S$19+$S$20+$S$21+$S$22=12</formula>
    </cfRule>
  </conditionalFormatting>
  <conditionalFormatting sqref="R12:R13">
    <cfRule type="expression" priority="10" dxfId="1" stopIfTrue="1">
      <formula>$S$12+$S$13+$S$14+$S$15=12</formula>
    </cfRule>
  </conditionalFormatting>
  <conditionalFormatting sqref="I44:I46 K13:K36 K80:K82 K44:K46 I49:I51 K49:K51 I54:I56 K54:K56 I59:I61 K59:K61 I67:I69 K67:K69 I72:I74 K72:K74 I80:I82 I13:I36">
    <cfRule type="expression" priority="11" dxfId="2" stopIfTrue="1">
      <formula>ISBLANK(I13)</formula>
    </cfRule>
  </conditionalFormatting>
  <dataValidations count="2">
    <dataValidation type="list" allowBlank="1" showInputMessage="1" showErrorMessage="1" sqref="I2:K2">
      <formula1>$DA$11:$DA$37</formula1>
    </dataValidation>
    <dataValidation type="list" allowBlank="1" showInputMessage="1" showErrorMessage="1" sqref="I4:K4">
      <formula1>$DB$11:$DB$149</formula1>
    </dataValidation>
  </dataValidations>
  <hyperlinks>
    <hyperlink ref="R2:Y4" r:id="rId1" display="VISIT WWW.EXCELTEMPLATE.NET FOR MORE TEMPLATES"/>
    <hyperlink ref="O2:Y4" r:id="rId2" display="VISIT WWW.EXCELTEMPLATE.NET FOR MORE TEMPLATES AND UPDATES"/>
  </hyperlinks>
  <printOptions horizontalCentered="1" verticalCentered="1"/>
  <pageMargins left="0.39" right="0.32" top="0.89" bottom="1" header="0.5" footer="0.69"/>
  <pageSetup fitToHeight="1" fitToWidth="1" horizontalDpi="300" verticalDpi="300" orientation="portrait" paperSize="9" scale="53" r:id="rId4"/>
  <headerFooter alignWithMargins="0">
    <oddHeader>&amp;C&amp;"Arial,Bold"&amp;16
UEFA EURO 2008 MATCH SCHEDULE</oddHeader>
    <oddFooter>&amp;C
copyright (c) exceltemplate.net 2008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showGridLines="0" workbookViewId="0" topLeftCell="A1">
      <selection activeCell="Q13" sqref="Q13"/>
    </sheetView>
  </sheetViews>
  <sheetFormatPr defaultColWidth="9.140625" defaultRowHeight="12.75"/>
  <cols>
    <col min="1" max="1" width="5.28125" style="7" customWidth="1"/>
    <col min="2" max="2" width="9.421875" style="7" bestFit="1" customWidth="1"/>
    <col min="3" max="3" width="3.28125" style="7" bestFit="1" customWidth="1"/>
    <col min="4" max="4" width="2.7109375" style="7" bestFit="1" customWidth="1"/>
    <col min="5" max="5" width="2.421875" style="7" bestFit="1" customWidth="1"/>
    <col min="6" max="7" width="3.28125" style="7" bestFit="1" customWidth="1"/>
    <col min="8" max="8" width="4.7109375" style="7" bestFit="1" customWidth="1"/>
    <col min="9" max="9" width="3.421875" style="7" bestFit="1" customWidth="1"/>
    <col min="10" max="10" width="9.140625" style="7" customWidth="1"/>
    <col min="11" max="11" width="9.00390625" style="7" bestFit="1" customWidth="1"/>
    <col min="12" max="12" width="10.28125" style="7" bestFit="1" customWidth="1"/>
    <col min="13" max="13" width="8.140625" style="7" bestFit="1" customWidth="1"/>
    <col min="14" max="14" width="11.57421875" style="7" bestFit="1" customWidth="1"/>
    <col min="15" max="15" width="5.421875" style="7" bestFit="1" customWidth="1"/>
    <col min="16" max="16" width="9.8515625" style="7" bestFit="1" customWidth="1"/>
    <col min="17" max="17" width="3.28125" style="7" bestFit="1" customWidth="1"/>
    <col min="18" max="18" width="4.7109375" style="7" bestFit="1" customWidth="1"/>
    <col min="19" max="19" width="2.421875" style="7" bestFit="1" customWidth="1"/>
    <col min="20" max="20" width="2.57421875" style="7" bestFit="1" customWidth="1"/>
    <col min="21" max="21" width="2.7109375" style="7" bestFit="1" customWidth="1"/>
    <col min="22" max="22" width="4.7109375" style="7" bestFit="1" customWidth="1"/>
    <col min="23" max="23" width="9.140625" style="7" customWidth="1"/>
    <col min="24" max="24" width="6.57421875" style="7" customWidth="1"/>
    <col min="25" max="25" width="9.140625" style="7" customWidth="1"/>
    <col min="26" max="26" width="3.28125" style="7" bestFit="1" customWidth="1"/>
    <col min="27" max="27" width="2.7109375" style="7" bestFit="1" customWidth="1"/>
    <col min="28" max="28" width="2.421875" style="7" bestFit="1" customWidth="1"/>
    <col min="29" max="29" width="2.57421875" style="7" bestFit="1" customWidth="1"/>
    <col min="30" max="30" width="2.7109375" style="7" bestFit="1" customWidth="1"/>
    <col min="31" max="31" width="4.7109375" style="7" bestFit="1" customWidth="1"/>
    <col min="32" max="32" width="3.421875" style="7" bestFit="1" customWidth="1"/>
    <col min="33" max="33" width="9.00390625" style="7" bestFit="1" customWidth="1"/>
    <col min="34" max="34" width="10.28125" style="7" bestFit="1" customWidth="1"/>
    <col min="35" max="36" width="9.140625" style="7" customWidth="1"/>
    <col min="37" max="37" width="10.00390625" style="7" bestFit="1" customWidth="1"/>
    <col min="38" max="38" width="11.57421875" style="7" bestFit="1" customWidth="1"/>
    <col min="39" max="39" width="9.140625" style="7" customWidth="1"/>
    <col min="40" max="40" width="8.8515625" style="7" bestFit="1" customWidth="1"/>
    <col min="41" max="41" width="10.140625" style="7" bestFit="1" customWidth="1"/>
    <col min="42" max="42" width="9.7109375" style="7" bestFit="1" customWidth="1"/>
    <col min="43" max="43" width="9.7109375" style="7" customWidth="1"/>
    <col min="44" max="44" width="9.8515625" style="7" bestFit="1" customWidth="1"/>
    <col min="45" max="45" width="11.140625" style="7" bestFit="1" customWidth="1"/>
    <col min="46" max="46" width="10.7109375" style="7" bestFit="1" customWidth="1"/>
    <col min="47" max="47" width="10.7109375" style="7" customWidth="1"/>
    <col min="48" max="16384" width="9.140625" style="7" customWidth="1"/>
  </cols>
  <sheetData>
    <row r="1" spans="1:55" ht="12.75">
      <c r="A1" s="70" t="s">
        <v>575</v>
      </c>
      <c r="B1" s="70"/>
      <c r="C1" s="70"/>
      <c r="D1" s="70"/>
      <c r="E1" s="70"/>
      <c r="F1" s="70"/>
      <c r="G1" s="70"/>
      <c r="H1" s="70"/>
      <c r="P1" s="70"/>
      <c r="Q1" s="70"/>
      <c r="R1" s="70"/>
      <c r="S1" s="70"/>
      <c r="T1" s="70"/>
      <c r="U1" s="70"/>
      <c r="V1" s="70"/>
      <c r="W1" s="70"/>
      <c r="X1" s="70" t="s">
        <v>576</v>
      </c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M1" s="70" t="s">
        <v>577</v>
      </c>
      <c r="AW1" s="70" t="s">
        <v>578</v>
      </c>
      <c r="BC1" s="70" t="s">
        <v>588</v>
      </c>
    </row>
    <row r="2" spans="1:55" ht="12.75">
      <c r="A2" s="70" t="s">
        <v>585</v>
      </c>
      <c r="B2" s="70" t="s">
        <v>21</v>
      </c>
      <c r="C2" s="70" t="s">
        <v>22</v>
      </c>
      <c r="D2" s="70" t="s">
        <v>23</v>
      </c>
      <c r="E2" s="70" t="s">
        <v>24</v>
      </c>
      <c r="F2" s="70" t="s">
        <v>29</v>
      </c>
      <c r="G2" s="70" t="s">
        <v>30</v>
      </c>
      <c r="H2" s="70" t="s">
        <v>574</v>
      </c>
      <c r="I2" s="70" t="s">
        <v>425</v>
      </c>
      <c r="J2" s="70" t="s">
        <v>570</v>
      </c>
      <c r="K2" s="70" t="s">
        <v>571</v>
      </c>
      <c r="L2" s="70" t="s">
        <v>573</v>
      </c>
      <c r="M2" s="70" t="s">
        <v>572</v>
      </c>
      <c r="N2" s="70" t="s">
        <v>583</v>
      </c>
      <c r="O2" s="70" t="s">
        <v>586</v>
      </c>
      <c r="P2" s="70" t="s">
        <v>587</v>
      </c>
      <c r="Q2" s="70" t="s">
        <v>29</v>
      </c>
      <c r="R2" s="70" t="s">
        <v>574</v>
      </c>
      <c r="S2" s="70" t="s">
        <v>425</v>
      </c>
      <c r="T2" s="70" t="s">
        <v>571</v>
      </c>
      <c r="U2" s="70" t="s">
        <v>573</v>
      </c>
      <c r="V2" s="70" t="s">
        <v>572</v>
      </c>
      <c r="W2" s="70" t="s">
        <v>584</v>
      </c>
      <c r="X2" s="70" t="s">
        <v>586</v>
      </c>
      <c r="Y2" s="70"/>
      <c r="Z2" s="70" t="s">
        <v>22</v>
      </c>
      <c r="AA2" s="70" t="s">
        <v>23</v>
      </c>
      <c r="AB2" s="70" t="s">
        <v>24</v>
      </c>
      <c r="AC2" s="70" t="s">
        <v>29</v>
      </c>
      <c r="AD2" s="70" t="s">
        <v>30</v>
      </c>
      <c r="AE2" s="70" t="s">
        <v>574</v>
      </c>
      <c r="AF2" s="70" t="s">
        <v>425</v>
      </c>
      <c r="AG2" s="70" t="s">
        <v>571</v>
      </c>
      <c r="AH2" s="70" t="s">
        <v>573</v>
      </c>
      <c r="AI2" s="70" t="s">
        <v>572</v>
      </c>
      <c r="AJ2" s="70" t="s">
        <v>581</v>
      </c>
      <c r="AK2" s="70" t="s">
        <v>582</v>
      </c>
      <c r="AL2" s="70" t="s">
        <v>583</v>
      </c>
      <c r="AM2" s="70"/>
      <c r="AN2" s="70" t="s">
        <v>32</v>
      </c>
      <c r="AO2" s="70" t="s">
        <v>35</v>
      </c>
      <c r="AP2" s="70" t="s">
        <v>36</v>
      </c>
      <c r="AQ2" s="70" t="s">
        <v>579</v>
      </c>
      <c r="AR2" s="70" t="s">
        <v>33</v>
      </c>
      <c r="AS2" s="70" t="s">
        <v>37</v>
      </c>
      <c r="AT2" s="70" t="s">
        <v>38</v>
      </c>
      <c r="AU2" s="70" t="s">
        <v>580</v>
      </c>
      <c r="AV2" s="70" t="s">
        <v>34</v>
      </c>
      <c r="AW2" s="70" t="s">
        <v>32</v>
      </c>
      <c r="AX2" s="70" t="s">
        <v>35</v>
      </c>
      <c r="AY2" s="70" t="s">
        <v>36</v>
      </c>
      <c r="AZ2" s="70" t="s">
        <v>33</v>
      </c>
      <c r="BA2" s="70" t="s">
        <v>37</v>
      </c>
      <c r="BB2" s="70" t="s">
        <v>38</v>
      </c>
      <c r="BC2" s="70" t="s">
        <v>589</v>
      </c>
    </row>
    <row r="3" spans="9:59" ht="12.75">
      <c r="I3" s="70"/>
      <c r="K3" s="70"/>
      <c r="L3" s="70"/>
      <c r="M3" s="70"/>
      <c r="N3" s="70"/>
      <c r="AM3" s="70"/>
      <c r="BC3" s="7">
        <v>1</v>
      </c>
      <c r="BD3" s="7" t="str">
        <f>'Euro 2008 Schedule'!G13</f>
        <v>Switzerland</v>
      </c>
      <c r="BE3" s="7">
        <f>IF(AND('Euro 2008 Schedule'!I13&lt;&gt;"",'Euro 2008 Schedule'!K13&lt;&gt;""),'Euro 2008 Schedule'!I13,"")</f>
      </c>
      <c r="BF3" s="7">
        <f>IF(AND('Euro 2008 Schedule'!K13&lt;&gt;"",'Euro 2008 Schedule'!I13&lt;&gt;""),'Euro 2008 Schedule'!K13,"")</f>
      </c>
      <c r="BG3" s="7" t="str">
        <f>'Euro 2008 Schedule'!M13</f>
        <v>Czech Republic</v>
      </c>
    </row>
    <row r="4" spans="1:59" ht="12.75">
      <c r="A4" s="7">
        <f>K4+L4+M4+N4</f>
        <v>1</v>
      </c>
      <c r="B4" s="7" t="str">
        <f>'Euro 2008 Schedule'!M13</f>
        <v>Czech Republic</v>
      </c>
      <c r="C4" s="7">
        <f>SUMIF(AN$4:AN$27,B4,AV$4:AV$27)+SUMIF(AR$4:AR$27,B4,AV$4:AV$27)</f>
        <v>0</v>
      </c>
      <c r="D4" s="7">
        <f>SUMIF(AO$4:AO$27,B4,AV$4:AV$27)+SUMIF(AS$4:AS$27,B4,AV$4:AV$27)</f>
        <v>0</v>
      </c>
      <c r="E4" s="7">
        <f>SUMIF(AP$4:AP$27,B4,AV$4:AV$27)+SUMIF(AT$4:AT$27,B4,AV$4:AV$27)</f>
        <v>0</v>
      </c>
      <c r="F4" s="7">
        <f>SUMIF($BD$3:$BD$26,B4,$BE$3:$BE$26)+SUMIF($BG$3:$BG$26,B4,$BF$3:$BF$26)</f>
        <v>0</v>
      </c>
      <c r="G4" s="7">
        <f>SUMIF($BG$3:$BG$26,B4,$BE$3:$BE$26)+SUMIF($BD$3:$BD$26,B4,$BF$3:$BF$26)</f>
        <v>0</v>
      </c>
      <c r="H4" s="7">
        <f>F4-G4+100</f>
        <v>100</v>
      </c>
      <c r="I4" s="70">
        <f>C4*3+D4</f>
        <v>0</v>
      </c>
      <c r="J4" s="7">
        <v>2333</v>
      </c>
      <c r="K4" s="7">
        <f>RANK(I4,I$4:I$7)</f>
        <v>1</v>
      </c>
      <c r="L4" s="7">
        <f>SUMPRODUCT((I$4:I$7=I4)*(H$4:H$7&gt;H4))</f>
        <v>0</v>
      </c>
      <c r="M4" s="7">
        <f>SUMPRODUCT((I$4:I$7=I4)*(H$4:H$7=H4)*(F$4:F$7&gt;F4))</f>
        <v>0</v>
      </c>
      <c r="N4" s="7">
        <f>SUMPRODUCT((I$4:I$7=I4)*(H$4:H$7=H4)*(F$4:F$7=F4)*(J$4:J$7&gt;J4))</f>
        <v>0</v>
      </c>
      <c r="O4" s="7">
        <f>X4</f>
        <v>1</v>
      </c>
      <c r="P4" s="7" t="str">
        <f>VLOOKUP(1,A$4:B$7,2,FALSE)</f>
        <v>Czech Republic</v>
      </c>
      <c r="Q4" s="7">
        <f>SUMIF(B$4:B$28,P4,F$4:F$28)</f>
        <v>0</v>
      </c>
      <c r="R4" s="7">
        <f>SUMIF(B$4:B$28,P4,H$4:H$28)</f>
        <v>100</v>
      </c>
      <c r="S4" s="70">
        <f>SUMIF($B$4:$B$28,$P4,I$4:I$28)</f>
        <v>0</v>
      </c>
      <c r="T4" s="7">
        <f aca="true" t="shared" si="0" ref="T4:V7">SUMIF($B$4:$B$28,$P4,K$4:K$28)</f>
        <v>1</v>
      </c>
      <c r="U4" s="7">
        <f t="shared" si="0"/>
        <v>0</v>
      </c>
      <c r="V4" s="7">
        <f t="shared" si="0"/>
        <v>0</v>
      </c>
      <c r="W4" s="7">
        <f>SUMIF($B$4:$B$28,$P4,J$4:J$28)</f>
        <v>2333</v>
      </c>
      <c r="X4" s="7">
        <f>IF(Y4=0,T4,T4+AG4+AH4+AI4+AJ4+AK4+AL4)</f>
        <v>1</v>
      </c>
      <c r="Y4" s="7" t="str">
        <f>IF(COUNTIF(S$4:S$7,S4)=1,0,P4)</f>
        <v>Czech Republic</v>
      </c>
      <c r="Z4" s="7">
        <f>SUMIF($AW$4:$AW$27,$Y4,$AV$4:$AV$27)+SUMIF($AZ$4:$AZ$27,$Y4,$AV$4:$AV$27)</f>
        <v>0</v>
      </c>
      <c r="AA4" s="7">
        <f>SUMIF($AX$4:$AX$27,$Y4,$AV$4:$AV$27)+SUMIF($BA$4:$BA$27,$Y4,$AV$4:$AV$27)</f>
        <v>0</v>
      </c>
      <c r="AB4" s="7">
        <f>SUMIF($AY$4:$AY$27,$Y4,$AV$4:$AV$27)+SUMIF($BB$4:$BB$27,$Y4,$AV$4:$AV$27)</f>
        <v>0</v>
      </c>
      <c r="AC4" s="7">
        <f>SUMIF(AW$4:AW$27,Y4,AQ$4:AQ$27)+SUMIF(AZ$4:AZ$27,Y4,AU$4:AU$27)+SUMIF(AX$4:AX$27,Y4,AQ$4:AQ$27)+SUMIF(BA$4:BA$27,Y4,AU$4:AU$27)</f>
        <v>0</v>
      </c>
      <c r="AD4" s="7">
        <f>SUMIF(AY$4:AY$27,Y4,AQ$4:AQ$27)+SUMIF(BB$4:BB$27,Y4,AU$4:AU$27)+SUMIF(AX$4:AX$27,Y4,AQ$4:AQ$27)+SUMIF(BA$4:BA$27,Y4,AU$4:AU$27)</f>
        <v>0</v>
      </c>
      <c r="AE4" s="7">
        <f>AC4-AD4+100</f>
        <v>100</v>
      </c>
      <c r="AF4" s="70">
        <f>IF(Y4&lt;&gt;0,Z4*3+AA4,"")</f>
        <v>0</v>
      </c>
      <c r="AG4" s="7">
        <f>IF(Y4&lt;&gt;0,RANK(AF4,AF$4:AF$7)-1,5)</f>
        <v>0</v>
      </c>
      <c r="AH4" s="7">
        <f>IF(Y4&lt;&gt;0,SUMPRODUCT((AF$4:AF$7=AF4)*(AE$4:AE$7&gt;AE4)),5)</f>
        <v>0</v>
      </c>
      <c r="AI4" s="7">
        <f>IF(Y4&lt;&gt;0,SUMPRODUCT(($AF$4:$AF$7=AF4)*($AE$4:$AE$7=AE4)*($AC$4:$AC$7&gt;AC4)),5)</f>
        <v>0</v>
      </c>
      <c r="AJ4" s="7">
        <f>IF(Y4&lt;&gt;0,SUMPRODUCT(($AF$4:$AF$7=AF4)*($AE$4:$AE$7=AE4)*($AC$4:$AC$7=AC4)*($R$4:$R$7&gt;R4)),5)</f>
        <v>0</v>
      </c>
      <c r="AK4" s="7">
        <f>IF($Y4&lt;&gt;0,SUMPRODUCT(($AF$4:$AF$7=$AF4)*($AE$4:$AE$7=$AE4)*($AC$4:$AC$7=$AC4)*($R$4:$R$7=$R4)*($Q$4:$Q$7&gt;$Q4)),5)</f>
        <v>0</v>
      </c>
      <c r="AL4" s="7">
        <f>IF($Y4&lt;&gt;0,SUMPRODUCT(($AF$4:$AF$7=$AF4)*($AE$4:$AE$7=$AE4)*($AC$4:$AC$7=$AC4)*($R$4:$R$7=$R4)*($Q$4:$Q$7=$Q4)*($W$4:$W$7&gt;$W4)),5)</f>
        <v>0</v>
      </c>
      <c r="AM4" s="7">
        <v>1</v>
      </c>
      <c r="AN4" s="7">
        <f>IF(AND('Euro 2008 Schedule'!I13&lt;&gt;"",'Euro 2008 Schedule'!K13&lt;&gt;""),IF('Euro 2008 Schedule'!I13&gt;'Euro 2008 Schedule'!K13,'Euro 2008 Schedule'!G13,""),"")</f>
      </c>
      <c r="AO4" s="7">
        <f>IF(AND('Euro 2008 Schedule'!I13&lt;&gt;"",'Euro 2008 Schedule'!K13&lt;&gt;""),IF('Euro 2008 Schedule'!I13='Euro 2008 Schedule'!K13,'Euro 2008 Schedule'!G13,""),"")</f>
      </c>
      <c r="AP4" s="7">
        <f>IF(AND('Euro 2008 Schedule'!I13&lt;&gt;"",'Euro 2008 Schedule'!K13&lt;&gt;""),IF('Euro 2008 Schedule'!I13&gt;'Euro 2008 Schedule'!K13,'Euro 2008 Schedule'!M13,""),"")</f>
      </c>
      <c r="AQ4" s="7">
        <f>IF(AND('Euro 2008 Schedule'!I13&lt;&gt;"",'Euro 2008 Schedule'!K13&lt;&gt;""),'Euro 2008 Schedule'!I13,0)</f>
        <v>0</v>
      </c>
      <c r="AR4" s="7">
        <f>IF(AND('Euro 2008 Schedule'!I13&lt;&gt;"",'Euro 2008 Schedule'!K13&lt;&gt;""),IF('Euro 2008 Schedule'!I13&lt;'Euro 2008 Schedule'!K13,'Euro 2008 Schedule'!M13,""),"")</f>
      </c>
      <c r="AS4" s="7">
        <f>IF(AND('Euro 2008 Schedule'!I13&lt;&gt;"",'Euro 2008 Schedule'!K13&lt;&gt;""),IF('Euro 2008 Schedule'!I13='Euro 2008 Schedule'!K13,'Euro 2008 Schedule'!M13,""),"")</f>
      </c>
      <c r="AT4" s="7">
        <f>IF(AND('Euro 2008 Schedule'!I13&lt;&gt;"",'Euro 2008 Schedule'!K13&lt;&gt;""),IF('Euro 2008 Schedule'!I13&lt;'Euro 2008 Schedule'!K13,'Euro 2008 Schedule'!G13,""),"")</f>
      </c>
      <c r="AU4" s="7">
        <f>IF(AND('Euro 2008 Schedule'!I13&lt;&gt;"",'Euro 2008 Schedule'!K13&lt;&gt;""),'Euro 2008 Schedule'!K13,0)</f>
        <v>0</v>
      </c>
      <c r="AV4" s="7">
        <v>1</v>
      </c>
      <c r="AW4" s="7">
        <f>IF(AND(COUNTIF($Y$4:$Y$28,AN4)=1,COUNTIF($Y$4:$Y$28,AP4)=1),AN4,"")</f>
      </c>
      <c r="AX4" s="7">
        <f>IF(AND(COUNTIF($Y$4:$Y$28,AO4)=1,COUNTIF($Y$4:$Y$28,AS4)=1),AO4,"")</f>
      </c>
      <c r="AY4" s="7">
        <f>IF(AND(COUNTIF($Y$4:$Y$28,AP4)=1,COUNTIF($Y$4:$Y$28,AN4)=1),AP4,"")</f>
      </c>
      <c r="AZ4" s="7">
        <f>IF(AND(COUNTIF($Y$4:$Y$28,AR4)=1,COUNTIF($Y$4:$Y$28,AT4)=1),AR4,"")</f>
      </c>
      <c r="BA4" s="7">
        <f>IF(AND(COUNTIF($Y$4:$Y$28,AS4)=1,COUNTIF($Y$4:$Y$28,AO4)=1),AS4,"")</f>
      </c>
      <c r="BB4" s="7">
        <f aca="true" t="shared" si="1" ref="BB4:BB27">IF(AND(COUNTIF($Y$4:$Y$28,AT4)=1,COUNTIF($Y$4:$Y$28,AR4)=1),AT4,"")</f>
      </c>
      <c r="BC4" s="7">
        <v>2</v>
      </c>
      <c r="BD4" s="7" t="str">
        <f>'Euro 2008 Schedule'!G14</f>
        <v>Portugal</v>
      </c>
      <c r="BE4" s="7">
        <f>IF(AND('Euro 2008 Schedule'!I14&lt;&gt;"",'Euro 2008 Schedule'!K14&lt;&gt;""),'Euro 2008 Schedule'!I14,"")</f>
      </c>
      <c r="BF4" s="7">
        <f>IF(AND('Euro 2008 Schedule'!K14&lt;&gt;"",'Euro 2008 Schedule'!I14&lt;&gt;""),'Euro 2008 Schedule'!K14,"")</f>
      </c>
      <c r="BG4" s="7" t="str">
        <f>'Euro 2008 Schedule'!M14</f>
        <v>Turkey</v>
      </c>
    </row>
    <row r="5" spans="1:59" ht="12.75">
      <c r="A5" s="7">
        <f>K5+L5+M5+N5</f>
        <v>2</v>
      </c>
      <c r="B5" s="7" t="str">
        <f>'Euro 2008 Schedule'!G14</f>
        <v>Portugal</v>
      </c>
      <c r="C5" s="7">
        <f>SUMIF(AN$4:AN$27,B5,AV$4:AV$27)+SUMIF(AR$4:AR$27,B5,AV$4:AV$27)</f>
        <v>0</v>
      </c>
      <c r="D5" s="7">
        <f>SUMIF(AO$4:AO$27,B5,AV$4:AV$27)+SUMIF(AS$4:AS$27,B5,AV$4:AV$27)</f>
        <v>0</v>
      </c>
      <c r="E5" s="7">
        <f>SUMIF(AP$4:AP$27,B5,AV$4:AV$27)+SUMIF(AT$4:AT$27,B5,AV$4:AV$27)</f>
        <v>0</v>
      </c>
      <c r="F5" s="7">
        <f>SUMIF($BD$3:$BD$26,B5,$BE$3:$BE$26)+SUMIF($BG$3:$BG$26,B5,$BF$3:$BF$26)</f>
        <v>0</v>
      </c>
      <c r="G5" s="7">
        <f>SUMIF($BG$3:$BG$26,B5,$BE$3:$BE$26)+SUMIF($BD$3:$BD$26,B5,$BF$3:$BF$26)</f>
        <v>0</v>
      </c>
      <c r="H5" s="7">
        <f>F5-G5+100</f>
        <v>100</v>
      </c>
      <c r="I5" s="70">
        <f>C5*3+D5</f>
        <v>0</v>
      </c>
      <c r="J5" s="7">
        <v>2192</v>
      </c>
      <c r="K5" s="7">
        <f>RANK(I5,I$4:I$7)</f>
        <v>1</v>
      </c>
      <c r="L5" s="7">
        <f>SUMPRODUCT((I$4:I$7=I5)*(H$4:H$7&gt;H5))</f>
        <v>0</v>
      </c>
      <c r="M5" s="7">
        <f>SUMPRODUCT((I$4:I$7=I5)*(H$4:H$7=H5)*(F$4:F$7&gt;F5))</f>
        <v>0</v>
      </c>
      <c r="N5" s="7">
        <f>SUMPRODUCT((I$4:I$7=I5)*(H$4:H$7=H5)*(F$4:F$7=F5)*(J$4:J$7&gt;J5))</f>
        <v>1</v>
      </c>
      <c r="O5" s="7">
        <f>X5</f>
        <v>2</v>
      </c>
      <c r="P5" s="7" t="str">
        <f>VLOOKUP(2,A$4:B$7,2,FALSE)</f>
        <v>Portugal</v>
      </c>
      <c r="Q5" s="7">
        <f>SUMIF(B$4:B$28,P5,F$4:F$28)</f>
        <v>0</v>
      </c>
      <c r="R5" s="7">
        <f>SUMIF(B$4:B$28,P5,H$4:H$28)</f>
        <v>100</v>
      </c>
      <c r="S5" s="70">
        <f>SUMIF(B$4:B$28,P5,I$4:I$28)</f>
        <v>0</v>
      </c>
      <c r="T5" s="7">
        <f t="shared" si="0"/>
        <v>1</v>
      </c>
      <c r="U5" s="7">
        <f t="shared" si="0"/>
        <v>0</v>
      </c>
      <c r="V5" s="7">
        <f t="shared" si="0"/>
        <v>0</v>
      </c>
      <c r="W5" s="7">
        <f>SUMIF($B$4:$B$28,$P5,J$4:J$28)</f>
        <v>2192</v>
      </c>
      <c r="X5" s="7">
        <f>IF(Y5=0,T5,T5+AG5+AH5+AI5+AJ5+AK5+AL5)</f>
        <v>2</v>
      </c>
      <c r="Y5" s="7" t="str">
        <f>IF(COUNTIF(S$4:S$7,S5)=1,0,P5)</f>
        <v>Portugal</v>
      </c>
      <c r="Z5" s="7">
        <f>SUMIF($AW$4:$AW$27,Y5,$AV$4:$AV$27)+SUMIF($AZ$4:$AZ$27,Y5,$AV$4:$AV$27)</f>
        <v>0</v>
      </c>
      <c r="AA5" s="7">
        <f>SUMIF($AX$4:$AX$27,$Y5,$AV$4:$AV$27)+SUMIF($BA$4:$BA$27,$Y5,$AV$4:$AV$27)</f>
        <v>0</v>
      </c>
      <c r="AB5" s="7">
        <f>SUMIF($AY$4:$AY$27,$Y5,$AV$4:$AV$27)+SUMIF($BB$4:$BB$27,$Y5,$AV$4:$AV$27)</f>
        <v>0</v>
      </c>
      <c r="AC5" s="7">
        <f>SUMIF(AW$4:AW$27,Y5,AQ$4:AQ$27)+SUMIF(AZ$4:AZ$27,Y5,AU$4:AU$27)+SUMIF(AX$4:AX$27,Y5,AQ$4:AQ$27)+SUMIF(BA$4:BA$27,Y5,AU$4:AU$27)</f>
        <v>0</v>
      </c>
      <c r="AD5" s="7">
        <f>SUMIF(AY$4:AY$27,Y5,AQ$4:AQ$27)+SUMIF(BB$4:BB$27,Y5,AU$4:AU$27)+SUMIF(AX$4:AX$27,Y5,AQ$4:AQ$27)+SUMIF(BA$4:BA$27,Y5,AU$4:AU$27)</f>
        <v>0</v>
      </c>
      <c r="AE5" s="7">
        <f>AC5-AD5+100</f>
        <v>100</v>
      </c>
      <c r="AF5" s="70">
        <f>IF(Y5&lt;&gt;0,Z5*3+AA5,"")</f>
        <v>0</v>
      </c>
      <c r="AG5" s="7">
        <f>IF(Y5&lt;&gt;0,RANK(AF5,AF$4:AF$7)-1,5)</f>
        <v>0</v>
      </c>
      <c r="AH5" s="7">
        <f>IF(Y5&lt;&gt;0,SUMPRODUCT((AF$4:AF$7=AF5)*(AE$4:AE$7&gt;AE5)),5)</f>
        <v>0</v>
      </c>
      <c r="AI5" s="7">
        <f>IF(Y5&lt;&gt;0,SUMPRODUCT(($AF$4:$AF$7=AF5)*($AE$4:$AE$7=AE5)*($AC$4:$AC$7&gt;AC5)),5)</f>
        <v>0</v>
      </c>
      <c r="AJ5" s="7">
        <f>IF(Y5&lt;&gt;0,SUMPRODUCT(($AF$4:$AF$7=AF5)*($AE$4:$AE$7=AE5)*($AC$4:$AC$7=AC5)*($R$4:$R$7&gt;R5)),5)</f>
        <v>0</v>
      </c>
      <c r="AK5" s="7">
        <f>IF($Y5&lt;&gt;0,SUMPRODUCT(($AF$4:$AF$7=$AF5)*($AE$4:$AE$7=$AE5)*($AC$4:$AC$7=$AC5)*($R$4:$R$7=$R5)*($Q$4:$Q$7&gt;$Q5)),5)</f>
        <v>0</v>
      </c>
      <c r="AL5" s="7">
        <f>IF($Y5&lt;&gt;0,SUMPRODUCT(($AF$4:$AF$7=$AF5)*($AE$4:$AE$7=$AE5)*($AC$4:$AC$7=$AC5)*($R$4:$R$7=$R5)*($Q$4:$Q$7=$Q5)*($W$4:$W$7&gt;$W5)),5)</f>
        <v>1</v>
      </c>
      <c r="AM5" s="7">
        <v>2</v>
      </c>
      <c r="AN5" s="7">
        <f>IF(AND('Euro 2008 Schedule'!I14&lt;&gt;"",'Euro 2008 Schedule'!K14&lt;&gt;""),IF('Euro 2008 Schedule'!I14&gt;'Euro 2008 Schedule'!K14,'Euro 2008 Schedule'!G14,""),"")</f>
      </c>
      <c r="AO5" s="7">
        <f>IF(AND('Euro 2008 Schedule'!I14&lt;&gt;"",'Euro 2008 Schedule'!K14&lt;&gt;""),IF('Euro 2008 Schedule'!I14='Euro 2008 Schedule'!K14,'Euro 2008 Schedule'!G14,""),"")</f>
      </c>
      <c r="AP5" s="7">
        <f>IF(AND('Euro 2008 Schedule'!I14&lt;&gt;"",'Euro 2008 Schedule'!K14&lt;&gt;""),IF('Euro 2008 Schedule'!I14&gt;'Euro 2008 Schedule'!K14,'Euro 2008 Schedule'!M14,""),"")</f>
      </c>
      <c r="AQ5" s="7">
        <f>IF(AND('Euro 2008 Schedule'!I14&lt;&gt;"",'Euro 2008 Schedule'!K14&lt;&gt;""),'Euro 2008 Schedule'!I14,0)</f>
        <v>0</v>
      </c>
      <c r="AR5" s="7">
        <f>IF(AND('Euro 2008 Schedule'!I14&lt;&gt;"",'Euro 2008 Schedule'!K14&lt;&gt;""),IF('Euro 2008 Schedule'!I14&lt;'Euro 2008 Schedule'!K14,'Euro 2008 Schedule'!M14,""),"")</f>
      </c>
      <c r="AS5" s="7">
        <f>IF(AND('Euro 2008 Schedule'!I14&lt;&gt;"",'Euro 2008 Schedule'!K14&lt;&gt;""),IF('Euro 2008 Schedule'!I14='Euro 2008 Schedule'!K14,'Euro 2008 Schedule'!M14,""),"")</f>
      </c>
      <c r="AT5" s="7">
        <f>IF(AND('Euro 2008 Schedule'!I14&lt;&gt;"",'Euro 2008 Schedule'!K14&lt;&gt;""),IF('Euro 2008 Schedule'!I14&lt;'Euro 2008 Schedule'!K14,'Euro 2008 Schedule'!G14,""),"")</f>
      </c>
      <c r="AU5" s="7">
        <f>IF(AND('Euro 2008 Schedule'!I14&lt;&gt;"",'Euro 2008 Schedule'!K14&lt;&gt;""),'Euro 2008 Schedule'!K14,0)</f>
        <v>0</v>
      </c>
      <c r="AV5" s="7">
        <v>1</v>
      </c>
      <c r="AW5" s="7">
        <f aca="true" t="shared" si="2" ref="AW5:AW27">IF(AND(COUNTIF($Y$4:$Y$28,AN5)=1,COUNTIF($Y$4:$Y$28,AP5)=1),AN5,"")</f>
      </c>
      <c r="AX5" s="7">
        <f aca="true" t="shared" si="3" ref="AX5:AX27">IF(AND(COUNTIF($Y$4:$Y$28,AO5)=1,COUNTIF($Y$4:$Y$28,AS5)=1),AO5,"")</f>
      </c>
      <c r="AY5" s="7">
        <f aca="true" t="shared" si="4" ref="AY5:AY27">IF(AND(COUNTIF($Y$4:$Y$28,AP5)=1,COUNTIF($Y$4:$Y$28,AN5)=1),AP5,"")</f>
      </c>
      <c r="AZ5" s="7">
        <f aca="true" t="shared" si="5" ref="AZ5:AZ27">IF(AND(COUNTIF($Y$4:$Y$28,AR5)=1,COUNTIF($Y$4:$Y$28,AT5)=1),AR5,"")</f>
      </c>
      <c r="BA5" s="7">
        <f aca="true" t="shared" si="6" ref="BA5:BA27">IF(AND(COUNTIF($Y$4:$Y$28,AS5)=1,COUNTIF($Y$4:$Y$28,AO5)=1),AS5,"")</f>
      </c>
      <c r="BB5" s="7">
        <f t="shared" si="1"/>
      </c>
      <c r="BC5" s="7">
        <v>3</v>
      </c>
      <c r="BD5" s="7" t="str">
        <f>'Euro 2008 Schedule'!G15</f>
        <v>Austria</v>
      </c>
      <c r="BE5" s="7">
        <f>IF(AND('Euro 2008 Schedule'!I15&lt;&gt;"",'Euro 2008 Schedule'!K15&lt;&gt;""),'Euro 2008 Schedule'!I15,"")</f>
      </c>
      <c r="BF5" s="7">
        <f>IF(AND('Euro 2008 Schedule'!K15&lt;&gt;"",'Euro 2008 Schedule'!I15&lt;&gt;""),'Euro 2008 Schedule'!K15,"")</f>
      </c>
      <c r="BG5" s="7" t="str">
        <f>'Euro 2008 Schedule'!M15</f>
        <v>Croatia</v>
      </c>
    </row>
    <row r="6" spans="1:59" ht="12.75">
      <c r="A6" s="7">
        <f>K6+L6+M6+N6</f>
        <v>3</v>
      </c>
      <c r="B6" s="7" t="str">
        <f>'Euro 2008 Schedule'!M14</f>
        <v>Turkey</v>
      </c>
      <c r="C6" s="7">
        <f>SUMIF(AN$4:AN$27,B6,AV$4:AV$27)+SUMIF(AR$4:AR$27,B6,AV$4:AV$27)</f>
        <v>0</v>
      </c>
      <c r="D6" s="7">
        <f>SUMIF(AO$4:AO$27,B6,AV$4:AV$27)+SUMIF(AS$4:AS$27,B6,AV$4:AV$27)</f>
        <v>0</v>
      </c>
      <c r="E6" s="7">
        <f>SUMIF(AP$4:AP$27,B6,AV$4:AV$27)+SUMIF(AT$4:AT$27,B6,AV$4:AV$27)</f>
        <v>0</v>
      </c>
      <c r="F6" s="7">
        <f>SUMIF($BD$3:$BD$26,B6,$BE$3:$BE$26)+SUMIF($BG$3:$BG$26,B6,$BF$3:$BF$26)</f>
        <v>0</v>
      </c>
      <c r="G6" s="7">
        <f>SUMIF($BG$3:$BG$26,B6,$BE$3:$BE$26)+SUMIF($BD$3:$BD$26,B6,$BF$3:$BF$26)</f>
        <v>0</v>
      </c>
      <c r="H6" s="7">
        <f>F6-G6+100</f>
        <v>100</v>
      </c>
      <c r="I6" s="70">
        <f>C6*3+D6</f>
        <v>0</v>
      </c>
      <c r="J6" s="7">
        <v>1958</v>
      </c>
      <c r="K6" s="7">
        <f>RANK(I6,I$4:I$7)</f>
        <v>1</v>
      </c>
      <c r="L6" s="7">
        <f>SUMPRODUCT((I$4:I$7=I6)*(H$4:H$7&gt;H6))</f>
        <v>0</v>
      </c>
      <c r="M6" s="7">
        <f>SUMPRODUCT((I$4:I$7=I6)*(H$4:H$7=H6)*(F$4:F$7&gt;F6))</f>
        <v>0</v>
      </c>
      <c r="N6" s="7">
        <f>SUMPRODUCT((I$4:I$7=I6)*(H$4:H$7=H6)*(F$4:F$7=F6)*(J$4:J$7&gt;J6))</f>
        <v>2</v>
      </c>
      <c r="O6" s="7">
        <f>IF(X6=5,3,IF(X6=6,4,X6))</f>
        <v>3</v>
      </c>
      <c r="P6" s="7" t="str">
        <f>VLOOKUP(3,A$4:B$7,2,FALSE)</f>
        <v>Turkey</v>
      </c>
      <c r="Q6" s="7">
        <f>SUMIF(B$4:B$28,P6,F$4:F$28)</f>
        <v>0</v>
      </c>
      <c r="R6" s="7">
        <f>SUMIF(B$4:B$28,P6,H$4:H$28)</f>
        <v>100</v>
      </c>
      <c r="S6" s="70">
        <f>SUMIF(B$4:B$28,P6,I$4:I$28)</f>
        <v>0</v>
      </c>
      <c r="T6" s="7">
        <f t="shared" si="0"/>
        <v>1</v>
      </c>
      <c r="U6" s="7">
        <f t="shared" si="0"/>
        <v>0</v>
      </c>
      <c r="V6" s="7">
        <f t="shared" si="0"/>
        <v>0</v>
      </c>
      <c r="W6" s="7">
        <f>SUMIF($B$4:$B$28,$P6,J$4:J$28)</f>
        <v>1958</v>
      </c>
      <c r="X6" s="7">
        <f>IF(Y6=0,T6,T6+AG6+AH6+AI6+AJ6+AK6+AL6)</f>
        <v>3</v>
      </c>
      <c r="Y6" s="7" t="str">
        <f>IF(S5=S6,IF(COUNTIF(S$4:S$7,S6)=1,0,P6),0)</f>
        <v>Turkey</v>
      </c>
      <c r="Z6" s="7">
        <f>SUMIF($AW$4:$AW$27,Y6,$AV$4:$AV$27)+SUMIF($AZ$4:$AZ$27,Y6,$AV$4:$AV$27)</f>
        <v>0</v>
      </c>
      <c r="AA6" s="7">
        <f>SUMIF($AX$4:$AX$27,$Y6,$AV$4:$AV$27)+SUMIF($BA$4:$BA$27,$Y6,$AV$4:$AV$27)</f>
        <v>0</v>
      </c>
      <c r="AB6" s="7">
        <f>SUMIF($AY$4:$AY$27,$Y6,$AV$4:$AV$27)+SUMIF($BB$4:$BB$27,$Y6,$AV$4:$AV$27)</f>
        <v>0</v>
      </c>
      <c r="AC6" s="7">
        <f>SUMIF(AW$4:AW$27,Y6,AQ$4:AQ$27)+SUMIF(AZ$4:AZ$27,Y6,AU$4:AU$27)+SUMIF(AX$4:AX$27,Y6,AQ$4:AQ$27)+SUMIF(BA$4:BA$27,Y6,AU$4:AU$27)</f>
        <v>0</v>
      </c>
      <c r="AD6" s="7">
        <f>SUMIF(AY$4:AY$27,Y6,AQ$4:AQ$27)+SUMIF(BB$4:BB$27,Y6,AU$4:AU$27)+SUMIF(AX$4:AX$27,Y6,AQ$4:AQ$27)+SUMIF(BA$4:BA$27,Y6,AU$4:AU$27)</f>
        <v>0</v>
      </c>
      <c r="AE6" s="7">
        <f>AC6-AD6+100</f>
        <v>100</v>
      </c>
      <c r="AF6" s="70">
        <f>IF(Y6&lt;&gt;0,Z6*3+AA6,"")</f>
        <v>0</v>
      </c>
      <c r="AG6" s="7">
        <f>IF(Y6&lt;&gt;0,RANK(AF6,AF$4:AF$7)-1,5)</f>
        <v>0</v>
      </c>
      <c r="AH6" s="7">
        <f>IF(Y6&lt;&gt;0,SUMPRODUCT((AF$4:AF$7=AF6)*(AE$4:AE$7&gt;AE6)),5)</f>
        <v>0</v>
      </c>
      <c r="AI6" s="7">
        <f>IF(Y6&lt;&gt;0,SUMPRODUCT(($AF$4:$AF$7=AF6)*($AE$4:$AE$7=AE6)*($AC$4:$AC$7&gt;AC6)),5)</f>
        <v>0</v>
      </c>
      <c r="AJ6" s="7">
        <f>IF(Y6&lt;&gt;0,SUMPRODUCT(($AF$4:$AF$7=AF6)*($AE$4:$AE$7=AE6)*($AC$4:$AC$7=AC6)*($R$4:$R$7&gt;R6)),5)</f>
        <v>0</v>
      </c>
      <c r="AK6" s="7">
        <f>IF($Y6&lt;&gt;0,SUMPRODUCT(($AF$4:$AF$7=$AF6)*($AE$4:$AE$7=$AE6)*($AC$4:$AC$7=$AC6)*($R$4:$R$7=$R6)*($Q$4:$Q$7&gt;$Q6)),5)</f>
        <v>0</v>
      </c>
      <c r="AL6" s="7">
        <f>IF($Y6&lt;&gt;0,SUMPRODUCT(($AF$4:$AF$7=$AF6)*($AE$4:$AE$7=$AE6)*($AC$4:$AC$7=$AC6)*($R$4:$R$7=$R6)*($Q$4:$Q$7=$Q6)*($W$4:$W$7&gt;$W6)),5)</f>
        <v>2</v>
      </c>
      <c r="AM6" s="7">
        <v>3</v>
      </c>
      <c r="AN6" s="7">
        <f>IF(AND('Euro 2008 Schedule'!I15&lt;&gt;"",'Euro 2008 Schedule'!K15&lt;&gt;""),IF('Euro 2008 Schedule'!I15&gt;'Euro 2008 Schedule'!K15,'Euro 2008 Schedule'!G15,""),"")</f>
      </c>
      <c r="AO6" s="7">
        <f>IF(AND('Euro 2008 Schedule'!I15&lt;&gt;"",'Euro 2008 Schedule'!K15&lt;&gt;""),IF('Euro 2008 Schedule'!I15='Euro 2008 Schedule'!K15,'Euro 2008 Schedule'!G15,""),"")</f>
      </c>
      <c r="AP6" s="7">
        <f>IF(AND('Euro 2008 Schedule'!I15&lt;&gt;"",'Euro 2008 Schedule'!K15&lt;&gt;""),IF('Euro 2008 Schedule'!I15&gt;'Euro 2008 Schedule'!K15,'Euro 2008 Schedule'!M15,""),"")</f>
      </c>
      <c r="AQ6" s="7">
        <f>IF(AND('Euro 2008 Schedule'!I15&lt;&gt;"",'Euro 2008 Schedule'!K15&lt;&gt;""),'Euro 2008 Schedule'!I15,0)</f>
        <v>0</v>
      </c>
      <c r="AR6" s="7">
        <f>IF(AND('Euro 2008 Schedule'!I15&lt;&gt;"",'Euro 2008 Schedule'!K15&lt;&gt;""),IF('Euro 2008 Schedule'!I15&lt;'Euro 2008 Schedule'!K15,'Euro 2008 Schedule'!M15,""),"")</f>
      </c>
      <c r="AS6" s="7">
        <f>IF(AND('Euro 2008 Schedule'!I15&lt;&gt;"",'Euro 2008 Schedule'!K15&lt;&gt;""),IF('Euro 2008 Schedule'!I15='Euro 2008 Schedule'!K15,'Euro 2008 Schedule'!M15,""),"")</f>
      </c>
      <c r="AT6" s="7">
        <f>IF(AND('Euro 2008 Schedule'!I15&lt;&gt;"",'Euro 2008 Schedule'!K15&lt;&gt;""),IF('Euro 2008 Schedule'!I15&lt;'Euro 2008 Schedule'!K15,'Euro 2008 Schedule'!G15,""),"")</f>
      </c>
      <c r="AU6" s="7">
        <f>IF(AND('Euro 2008 Schedule'!I15&lt;&gt;"",'Euro 2008 Schedule'!K15&lt;&gt;""),'Euro 2008 Schedule'!K15,0)</f>
        <v>0</v>
      </c>
      <c r="AV6" s="7">
        <v>1</v>
      </c>
      <c r="AW6" s="7">
        <f t="shared" si="2"/>
      </c>
      <c r="AX6" s="7">
        <f t="shared" si="3"/>
      </c>
      <c r="AY6" s="7">
        <f t="shared" si="4"/>
      </c>
      <c r="AZ6" s="7">
        <f t="shared" si="5"/>
      </c>
      <c r="BA6" s="7">
        <f t="shared" si="6"/>
      </c>
      <c r="BB6" s="7">
        <f t="shared" si="1"/>
      </c>
      <c r="BC6" s="7">
        <v>4</v>
      </c>
      <c r="BD6" s="7" t="str">
        <f>'Euro 2008 Schedule'!G16</f>
        <v>Germany</v>
      </c>
      <c r="BE6" s="7">
        <f>IF(AND('Euro 2008 Schedule'!I16&lt;&gt;"",'Euro 2008 Schedule'!K16&lt;&gt;""),'Euro 2008 Schedule'!I16,"")</f>
      </c>
      <c r="BF6" s="7">
        <f>IF(AND('Euro 2008 Schedule'!K16&lt;&gt;"",'Euro 2008 Schedule'!I16&lt;&gt;""),'Euro 2008 Schedule'!K16,"")</f>
      </c>
      <c r="BG6" s="7" t="str">
        <f>'Euro 2008 Schedule'!M16</f>
        <v>Poland</v>
      </c>
    </row>
    <row r="7" spans="1:59" ht="12.75">
      <c r="A7" s="7">
        <f>K7+L7+M7+N7</f>
        <v>4</v>
      </c>
      <c r="B7" s="7" t="str">
        <f>'Euro 2008 Schedule'!G13</f>
        <v>Switzerland</v>
      </c>
      <c r="C7" s="7">
        <f>SUMIF(AN$4:AN$27,B7,AV$4:AV$27)+SUMIF(AR$4:AR$27,B7,AV$4:AV$27)</f>
        <v>0</v>
      </c>
      <c r="D7" s="7">
        <f>SUMIF(AO$4:AO$27,B7,AV$4:AV$27)+SUMIF(AS$4:AS$27,B7,AV$4:AV$27)</f>
        <v>0</v>
      </c>
      <c r="E7" s="7">
        <f>SUMIF(AP$4:AP$27,B7,AV$4:AV$27)+SUMIF(AT$4:AT$27,B7,AV$4:AV$27)</f>
        <v>0</v>
      </c>
      <c r="F7" s="7">
        <f>SUMIF($BD$3:$BD$26,B7,$BE$3:$BE$26)+SUMIF($BG$3:$BG$26,B7,$BF$3:$BF$26)</f>
        <v>0</v>
      </c>
      <c r="G7" s="7">
        <f>SUMIF($BG$3:$BG$26,B7,$BE$3:$BE$26)+SUMIF($BD$3:$BD$26,B7,$BF$3:$BF$26)</f>
        <v>0</v>
      </c>
      <c r="H7" s="7">
        <f>F7-G7+100</f>
        <v>100</v>
      </c>
      <c r="I7" s="70">
        <f>C7*3+D7</f>
        <v>0</v>
      </c>
      <c r="J7" s="7">
        <v>1800</v>
      </c>
      <c r="K7" s="7">
        <f>RANK(I7,I$4:I$7)</f>
        <v>1</v>
      </c>
      <c r="L7" s="7">
        <f>SUMPRODUCT((I$4:I$7=I7)*(H$4:H$7&gt;H7))</f>
        <v>0</v>
      </c>
      <c r="M7" s="7">
        <f>SUMPRODUCT((I$4:I$7=I7)*(H$4:H$7=H7)*(F$4:F$7&gt;F7))</f>
        <v>0</v>
      </c>
      <c r="N7" s="7">
        <f>SUMPRODUCT((I$4:I$7=I7)*(H$4:H$7=H7)*(F$4:F$7=F7)*(J$4:J$7&gt;J7))</f>
        <v>3</v>
      </c>
      <c r="O7" s="7">
        <f>IF(X7=X6,IF(X7=3,4,X7),IF(X7=5,3,IF(X7=6,4,X7)))</f>
        <v>4</v>
      </c>
      <c r="P7" s="7" t="str">
        <f>VLOOKUP(4,A$4:B$7,2,FALSE)</f>
        <v>Switzerland</v>
      </c>
      <c r="Q7" s="7">
        <f>SUMIF(B$4:B$28,P7,F$4:F$28)</f>
        <v>0</v>
      </c>
      <c r="R7" s="7">
        <f>SUMIF(B$4:B$28,P7,H$4:H$28)</f>
        <v>100</v>
      </c>
      <c r="S7" s="70">
        <f>SUMIF(B$4:B$28,P7,I$4:I$28)</f>
        <v>0</v>
      </c>
      <c r="T7" s="7">
        <f t="shared" si="0"/>
        <v>1</v>
      </c>
      <c r="U7" s="7">
        <f t="shared" si="0"/>
        <v>0</v>
      </c>
      <c r="V7" s="7">
        <f t="shared" si="0"/>
        <v>0</v>
      </c>
      <c r="W7" s="7">
        <f>SUMIF($B$4:$B$28,$P7,J$4:J$28)</f>
        <v>1800</v>
      </c>
      <c r="X7" s="7">
        <f>IF(Y7=0,T7,T7+AG7+AH7+AI7+AJ7+AK7+AL7)</f>
        <v>4</v>
      </c>
      <c r="Y7" s="7" t="str">
        <f>IF(Y6=0,0,IF(COUNTIF(S$4:S$7,S7)=1,0,P7))</f>
        <v>Switzerland</v>
      </c>
      <c r="Z7" s="7">
        <f>SUMIF($AW$4:$AW$27,Y7,$AV$4:$AV$27)+SUMIF($AZ$4:$AZ$27,Y7,$AV$4:$AV$27)</f>
        <v>0</v>
      </c>
      <c r="AA7" s="7">
        <f>SUMIF($AX$4:$AX$27,$Y7,$AV$4:$AV$27)+SUMIF($BA$4:$BA$27,$Y7,$AV$4:$AV$27)</f>
        <v>0</v>
      </c>
      <c r="AB7" s="7">
        <f>SUMIF($AY$4:$AY$27,$Y7,$AV$4:$AV$27)+SUMIF($BB$4:$BB$27,$Y7,$AV$4:$AV$27)</f>
        <v>0</v>
      </c>
      <c r="AC7" s="7">
        <f>SUMIF(AW$4:AW$27,Y7,AQ$4:AQ$27)+SUMIF(AZ$4:AZ$27,Y7,AU$4:AU$27)+SUMIF(AX$4:AX$27,Y7,AQ$4:AQ$27)+SUMIF(BA$4:BA$27,Y7,AU$4:AU$27)</f>
        <v>0</v>
      </c>
      <c r="AD7" s="7">
        <f>SUMIF(AY$4:AY$27,Y7,AQ$4:AQ$27)+SUMIF(BB$4:BB$27,Y7,AU$4:AU$27)+SUMIF(AX$4:AX$27,Y7,AQ$4:AQ$27)+SUMIF(BA$4:BA$27,Y7,AU$4:AU$27)</f>
        <v>0</v>
      </c>
      <c r="AE7" s="7">
        <f>AC7-AD7+100</f>
        <v>100</v>
      </c>
      <c r="AF7" s="70">
        <f>IF(Y7&lt;&gt;0,Z7*3+AA7,"")</f>
        <v>0</v>
      </c>
      <c r="AG7" s="7">
        <f>IF(Y7&lt;&gt;0,RANK(AF7,AF$4:AF$7)-1,5)</f>
        <v>0</v>
      </c>
      <c r="AH7" s="7">
        <f>IF(Y7&lt;&gt;0,SUMPRODUCT((AF$4:AF$7=AF7)*(AE$4:AE$7&gt;AE7)),5)</f>
        <v>0</v>
      </c>
      <c r="AI7" s="7">
        <f>IF(Y7&lt;&gt;0,SUMPRODUCT(($AF$4:$AF$7=AF7)*($AE$4:$AE$7=AE7)*($AC$4:$AC$7&gt;AC7)),5)</f>
        <v>0</v>
      </c>
      <c r="AJ7" s="7">
        <f>IF(Y7&lt;&gt;0,SUMPRODUCT(($AF$4:$AF$7=AF7)*($AE$4:$AE$7=AE7)*($AC$4:$AC$7=AC7)*($R$4:$R$7&gt;R7)),5)</f>
        <v>0</v>
      </c>
      <c r="AK7" s="7">
        <f>IF($Y7&lt;&gt;0,SUMPRODUCT(($AF$4:$AF$7=$AF7)*($AE$4:$AE$7=$AE7)*($AC$4:$AC$7=$AC7)*($R$4:$R$7=$R7)*($Q$4:$Q$7&gt;$Q7)),5)</f>
        <v>0</v>
      </c>
      <c r="AL7" s="7">
        <f>IF($Y7&lt;&gt;0,SUMPRODUCT(($AF$4:$AF$7=$AF7)*($AE$4:$AE$7=$AE7)*($AC$4:$AC$7=$AC7)*($R$4:$R$7=$R7)*($Q$4:$Q$7=$Q7)*($W$4:$W$7&gt;$W7)),5)</f>
        <v>3</v>
      </c>
      <c r="AM7" s="7">
        <v>4</v>
      </c>
      <c r="AN7" s="7">
        <f>IF(AND('Euro 2008 Schedule'!I16&lt;&gt;"",'Euro 2008 Schedule'!K16&lt;&gt;""),IF('Euro 2008 Schedule'!I16&gt;'Euro 2008 Schedule'!K16,'Euro 2008 Schedule'!G16,""),"")</f>
      </c>
      <c r="AO7" s="7">
        <f>IF(AND('Euro 2008 Schedule'!I16&lt;&gt;"",'Euro 2008 Schedule'!K16&lt;&gt;""),IF('Euro 2008 Schedule'!I16='Euro 2008 Schedule'!K16,'Euro 2008 Schedule'!G16,""),"")</f>
      </c>
      <c r="AP7" s="7">
        <f>IF(AND('Euro 2008 Schedule'!I16&lt;&gt;"",'Euro 2008 Schedule'!K16&lt;&gt;""),IF('Euro 2008 Schedule'!I16&gt;'Euro 2008 Schedule'!K16,'Euro 2008 Schedule'!M16,""),"")</f>
      </c>
      <c r="AQ7" s="7">
        <f>IF(AND('Euro 2008 Schedule'!I16&lt;&gt;"",'Euro 2008 Schedule'!K16&lt;&gt;""),'Euro 2008 Schedule'!I16,0)</f>
        <v>0</v>
      </c>
      <c r="AR7" s="7">
        <f>IF(AND('Euro 2008 Schedule'!I16&lt;&gt;"",'Euro 2008 Schedule'!K16&lt;&gt;""),IF('Euro 2008 Schedule'!I16&lt;'Euro 2008 Schedule'!K16,'Euro 2008 Schedule'!M16,""),"")</f>
      </c>
      <c r="AS7" s="7">
        <f>IF(AND('Euro 2008 Schedule'!I16&lt;&gt;"",'Euro 2008 Schedule'!K16&lt;&gt;""),IF('Euro 2008 Schedule'!I16='Euro 2008 Schedule'!K16,'Euro 2008 Schedule'!M16,""),"")</f>
      </c>
      <c r="AT7" s="7">
        <f>IF(AND('Euro 2008 Schedule'!I16&lt;&gt;"",'Euro 2008 Schedule'!K16&lt;&gt;""),IF('Euro 2008 Schedule'!I16&lt;'Euro 2008 Schedule'!K16,'Euro 2008 Schedule'!G16,""),"")</f>
      </c>
      <c r="AU7" s="7">
        <f>IF(AND('Euro 2008 Schedule'!I16&lt;&gt;"",'Euro 2008 Schedule'!K16&lt;&gt;""),'Euro 2008 Schedule'!K16,0)</f>
        <v>0</v>
      </c>
      <c r="AV7" s="7">
        <v>1</v>
      </c>
      <c r="AW7" s="7">
        <f t="shared" si="2"/>
      </c>
      <c r="AX7" s="7">
        <f t="shared" si="3"/>
      </c>
      <c r="AY7" s="7">
        <f t="shared" si="4"/>
      </c>
      <c r="AZ7" s="7">
        <f t="shared" si="5"/>
      </c>
      <c r="BA7" s="7">
        <f t="shared" si="6"/>
      </c>
      <c r="BB7" s="7">
        <f t="shared" si="1"/>
      </c>
      <c r="BC7" s="7">
        <v>5</v>
      </c>
      <c r="BD7" s="7" t="str">
        <f>'Euro 2008 Schedule'!G17</f>
        <v>Romania</v>
      </c>
      <c r="BE7" s="7">
        <f>IF(AND('Euro 2008 Schedule'!I17&lt;&gt;"",'Euro 2008 Schedule'!K17&lt;&gt;""),'Euro 2008 Schedule'!I17,"")</f>
      </c>
      <c r="BF7" s="7">
        <f>IF(AND('Euro 2008 Schedule'!K17&lt;&gt;"",'Euro 2008 Schedule'!I17&lt;&gt;""),'Euro 2008 Schedule'!K17,"")</f>
      </c>
      <c r="BG7" s="7" t="str">
        <f>'Euro 2008 Schedule'!M17</f>
        <v>France</v>
      </c>
    </row>
    <row r="8" spans="9:59" ht="12.75">
      <c r="I8" s="70"/>
      <c r="S8" s="70"/>
      <c r="AF8" s="70"/>
      <c r="AM8" s="7">
        <v>5</v>
      </c>
      <c r="AN8" s="7">
        <f>IF(AND('Euro 2008 Schedule'!I17&lt;&gt;"",'Euro 2008 Schedule'!K17&lt;&gt;""),IF('Euro 2008 Schedule'!I17&gt;'Euro 2008 Schedule'!K17,'Euro 2008 Schedule'!G17,""),"")</f>
      </c>
      <c r="AO8" s="7">
        <f>IF(AND('Euro 2008 Schedule'!I17&lt;&gt;"",'Euro 2008 Schedule'!K17&lt;&gt;""),IF('Euro 2008 Schedule'!I17='Euro 2008 Schedule'!K17,'Euro 2008 Schedule'!G17,""),"")</f>
      </c>
      <c r="AP8" s="7">
        <f>IF(AND('Euro 2008 Schedule'!I17&lt;&gt;"",'Euro 2008 Schedule'!K17&lt;&gt;""),IF('Euro 2008 Schedule'!I17&gt;'Euro 2008 Schedule'!K17,'Euro 2008 Schedule'!M17,""),"")</f>
      </c>
      <c r="AQ8" s="7">
        <f>IF(AND('Euro 2008 Schedule'!I17&lt;&gt;"",'Euro 2008 Schedule'!K17&lt;&gt;""),'Euro 2008 Schedule'!I17,0)</f>
        <v>0</v>
      </c>
      <c r="AR8" s="7">
        <f>IF(AND('Euro 2008 Schedule'!I17&lt;&gt;"",'Euro 2008 Schedule'!K17&lt;&gt;""),IF('Euro 2008 Schedule'!I17&lt;'Euro 2008 Schedule'!K17,'Euro 2008 Schedule'!M17,""),"")</f>
      </c>
      <c r="AS8" s="7">
        <f>IF(AND('Euro 2008 Schedule'!I17&lt;&gt;"",'Euro 2008 Schedule'!K17&lt;&gt;""),IF('Euro 2008 Schedule'!I17='Euro 2008 Schedule'!K17,'Euro 2008 Schedule'!M17,""),"")</f>
      </c>
      <c r="AT8" s="7">
        <f>IF(AND('Euro 2008 Schedule'!I17&lt;&gt;"",'Euro 2008 Schedule'!K17&lt;&gt;""),IF('Euro 2008 Schedule'!I17&lt;'Euro 2008 Schedule'!K17,'Euro 2008 Schedule'!G17,""),"")</f>
      </c>
      <c r="AU8" s="7">
        <f>IF(AND('Euro 2008 Schedule'!I17&lt;&gt;"",'Euro 2008 Schedule'!K17&lt;&gt;""),'Euro 2008 Schedule'!K17,0)</f>
        <v>0</v>
      </c>
      <c r="AV8" s="7">
        <v>1</v>
      </c>
      <c r="AW8" s="7">
        <f t="shared" si="2"/>
      </c>
      <c r="AX8" s="7">
        <f t="shared" si="3"/>
      </c>
      <c r="AY8" s="7">
        <f t="shared" si="4"/>
      </c>
      <c r="AZ8" s="7">
        <f t="shared" si="5"/>
      </c>
      <c r="BA8" s="7">
        <f t="shared" si="6"/>
      </c>
      <c r="BB8" s="7">
        <f t="shared" si="1"/>
      </c>
      <c r="BC8" s="7">
        <v>6</v>
      </c>
      <c r="BD8" s="7" t="str">
        <f>'Euro 2008 Schedule'!G18</f>
        <v>Netherlands</v>
      </c>
      <c r="BE8" s="7">
        <f>IF(AND('Euro 2008 Schedule'!I18&lt;&gt;"",'Euro 2008 Schedule'!K18&lt;&gt;""),'Euro 2008 Schedule'!I18,"")</f>
      </c>
      <c r="BF8" s="7">
        <f>IF(AND('Euro 2008 Schedule'!K18&lt;&gt;"",'Euro 2008 Schedule'!I18&lt;&gt;""),'Euro 2008 Schedule'!K18,"")</f>
      </c>
      <c r="BG8" s="7" t="str">
        <f>'Euro 2008 Schedule'!M18</f>
        <v>Italy</v>
      </c>
    </row>
    <row r="9" spans="2:59" ht="12.75">
      <c r="B9" s="7" t="s">
        <v>26</v>
      </c>
      <c r="C9" s="7" t="s">
        <v>22</v>
      </c>
      <c r="D9" s="7" t="s">
        <v>23</v>
      </c>
      <c r="E9" s="7" t="s">
        <v>24</v>
      </c>
      <c r="F9" s="7" t="s">
        <v>29</v>
      </c>
      <c r="G9" s="7" t="s">
        <v>30</v>
      </c>
      <c r="H9" s="7" t="s">
        <v>574</v>
      </c>
      <c r="I9" s="70" t="s">
        <v>425</v>
      </c>
      <c r="S9" s="70"/>
      <c r="AF9" s="70"/>
      <c r="AM9" s="7">
        <v>6</v>
      </c>
      <c r="AN9" s="7">
        <f>IF(AND('Euro 2008 Schedule'!I18&lt;&gt;"",'Euro 2008 Schedule'!K18&lt;&gt;""),IF('Euro 2008 Schedule'!I18&gt;'Euro 2008 Schedule'!K18,'Euro 2008 Schedule'!G18,""),"")</f>
      </c>
      <c r="AO9" s="7">
        <f>IF(AND('Euro 2008 Schedule'!I18&lt;&gt;"",'Euro 2008 Schedule'!K18&lt;&gt;""),IF('Euro 2008 Schedule'!I18='Euro 2008 Schedule'!K18,'Euro 2008 Schedule'!G18,""),"")</f>
      </c>
      <c r="AP9" s="7">
        <f>IF(AND('Euro 2008 Schedule'!I18&lt;&gt;"",'Euro 2008 Schedule'!K18&lt;&gt;""),IF('Euro 2008 Schedule'!I18&gt;'Euro 2008 Schedule'!K18,'Euro 2008 Schedule'!M18,""),"")</f>
      </c>
      <c r="AQ9" s="7">
        <f>IF(AND('Euro 2008 Schedule'!I18&lt;&gt;"",'Euro 2008 Schedule'!K18&lt;&gt;""),'Euro 2008 Schedule'!I18,0)</f>
        <v>0</v>
      </c>
      <c r="AR9" s="7">
        <f>IF(AND('Euro 2008 Schedule'!I18&lt;&gt;"",'Euro 2008 Schedule'!K18&lt;&gt;""),IF('Euro 2008 Schedule'!I18&lt;'Euro 2008 Schedule'!K18,'Euro 2008 Schedule'!M18,""),"")</f>
      </c>
      <c r="AS9" s="7">
        <f>IF(AND('Euro 2008 Schedule'!I18&lt;&gt;"",'Euro 2008 Schedule'!K18&lt;&gt;""),IF('Euro 2008 Schedule'!I18='Euro 2008 Schedule'!K18,'Euro 2008 Schedule'!M18,""),"")</f>
      </c>
      <c r="AT9" s="7">
        <f>IF(AND('Euro 2008 Schedule'!I18&lt;&gt;"",'Euro 2008 Schedule'!K18&lt;&gt;""),IF('Euro 2008 Schedule'!I18&lt;'Euro 2008 Schedule'!K18,'Euro 2008 Schedule'!G18,""),"")</f>
      </c>
      <c r="AU9" s="7">
        <f>IF(AND('Euro 2008 Schedule'!I18&lt;&gt;"",'Euro 2008 Schedule'!K18&lt;&gt;""),'Euro 2008 Schedule'!K18,0)</f>
        <v>0</v>
      </c>
      <c r="AV9" s="7">
        <v>1</v>
      </c>
      <c r="AW9" s="7">
        <f t="shared" si="2"/>
      </c>
      <c r="AX9" s="7">
        <f t="shared" si="3"/>
      </c>
      <c r="AY9" s="7">
        <f t="shared" si="4"/>
      </c>
      <c r="AZ9" s="7">
        <f t="shared" si="5"/>
      </c>
      <c r="BA9" s="7">
        <f t="shared" si="6"/>
      </c>
      <c r="BB9" s="7">
        <f t="shared" si="1"/>
      </c>
      <c r="BC9" s="7">
        <v>7</v>
      </c>
      <c r="BD9" s="7" t="str">
        <f>'Euro 2008 Schedule'!G19</f>
        <v>Spain</v>
      </c>
      <c r="BE9" s="7">
        <f>IF(AND('Euro 2008 Schedule'!I19&lt;&gt;"",'Euro 2008 Schedule'!K19&lt;&gt;""),'Euro 2008 Schedule'!I19,"")</f>
      </c>
      <c r="BF9" s="7">
        <f>IF(AND('Euro 2008 Schedule'!K19&lt;&gt;"",'Euro 2008 Schedule'!I19&lt;&gt;""),'Euro 2008 Schedule'!K19,"")</f>
      </c>
      <c r="BG9" s="7" t="str">
        <f>'Euro 2008 Schedule'!M19</f>
        <v>Russia</v>
      </c>
    </row>
    <row r="10" spans="9:59" ht="12.75">
      <c r="I10" s="70"/>
      <c r="S10" s="70"/>
      <c r="AF10" s="70"/>
      <c r="AM10" s="7">
        <v>7</v>
      </c>
      <c r="AN10" s="7">
        <f>IF(AND('Euro 2008 Schedule'!I19&lt;&gt;"",'Euro 2008 Schedule'!K19&lt;&gt;""),IF('Euro 2008 Schedule'!I19&gt;'Euro 2008 Schedule'!K19,'Euro 2008 Schedule'!G19,""),"")</f>
      </c>
      <c r="AO10" s="7">
        <f>IF(AND('Euro 2008 Schedule'!I19&lt;&gt;"",'Euro 2008 Schedule'!K19&lt;&gt;""),IF('Euro 2008 Schedule'!I19='Euro 2008 Schedule'!K19,'Euro 2008 Schedule'!G19,""),"")</f>
      </c>
      <c r="AP10" s="7">
        <f>IF(AND('Euro 2008 Schedule'!I19&lt;&gt;"",'Euro 2008 Schedule'!K19&lt;&gt;""),IF('Euro 2008 Schedule'!I19&gt;'Euro 2008 Schedule'!K19,'Euro 2008 Schedule'!M19,""),"")</f>
      </c>
      <c r="AQ10" s="7">
        <f>IF(AND('Euro 2008 Schedule'!I19&lt;&gt;"",'Euro 2008 Schedule'!K19&lt;&gt;""),'Euro 2008 Schedule'!I19,0)</f>
        <v>0</v>
      </c>
      <c r="AR10" s="7">
        <f>IF(AND('Euro 2008 Schedule'!I19&lt;&gt;"",'Euro 2008 Schedule'!K19&lt;&gt;""),IF('Euro 2008 Schedule'!I19&lt;'Euro 2008 Schedule'!K19,'Euro 2008 Schedule'!M19,""),"")</f>
      </c>
      <c r="AS10" s="7">
        <f>IF(AND('Euro 2008 Schedule'!I19&lt;&gt;"",'Euro 2008 Schedule'!K19&lt;&gt;""),IF('Euro 2008 Schedule'!I19='Euro 2008 Schedule'!K19,'Euro 2008 Schedule'!M19,""),"")</f>
      </c>
      <c r="AT10" s="7">
        <f>IF(AND('Euro 2008 Schedule'!I19&lt;&gt;"",'Euro 2008 Schedule'!K19&lt;&gt;""),IF('Euro 2008 Schedule'!I19&lt;'Euro 2008 Schedule'!K19,'Euro 2008 Schedule'!G19,""),"")</f>
      </c>
      <c r="AU10" s="7">
        <f>IF(AND('Euro 2008 Schedule'!I19&lt;&gt;"",'Euro 2008 Schedule'!K19&lt;&gt;""),'Euro 2008 Schedule'!K19,0)</f>
        <v>0</v>
      </c>
      <c r="AV10" s="7">
        <v>1</v>
      </c>
      <c r="AW10" s="7">
        <f t="shared" si="2"/>
      </c>
      <c r="AX10" s="7">
        <f t="shared" si="3"/>
      </c>
      <c r="AY10" s="7">
        <f t="shared" si="4"/>
      </c>
      <c r="AZ10" s="7">
        <f t="shared" si="5"/>
      </c>
      <c r="BA10" s="7">
        <f t="shared" si="6"/>
      </c>
      <c r="BB10" s="7">
        <f t="shared" si="1"/>
      </c>
      <c r="BC10" s="7">
        <v>8</v>
      </c>
      <c r="BD10" s="7" t="str">
        <f>'Euro 2008 Schedule'!G20</f>
        <v>Greece</v>
      </c>
      <c r="BE10" s="7">
        <f>IF(AND('Euro 2008 Schedule'!I20&lt;&gt;"",'Euro 2008 Schedule'!K20&lt;&gt;""),'Euro 2008 Schedule'!I20,"")</f>
      </c>
      <c r="BF10" s="7">
        <f>IF(AND('Euro 2008 Schedule'!K20&lt;&gt;"",'Euro 2008 Schedule'!I20&lt;&gt;""),'Euro 2008 Schedule'!K20,"")</f>
      </c>
      <c r="BG10" s="7" t="str">
        <f>'Euro 2008 Schedule'!M20</f>
        <v>Sweden</v>
      </c>
    </row>
    <row r="11" spans="1:59" ht="12.75">
      <c r="A11" s="7">
        <f>K11+L11+M11+N11</f>
        <v>1</v>
      </c>
      <c r="B11" s="7" t="str">
        <f>'Euro 2008 Schedule'!M15</f>
        <v>Croatia</v>
      </c>
      <c r="C11" s="7">
        <f>SUMIF(AN$4:AN$27,B11,AV$4:AV$27)+SUMIF(AR$4:AR$27,B11,AV$4:AV$27)</f>
        <v>0</v>
      </c>
      <c r="D11" s="7">
        <f>SUMIF(AO$4:AO$27,B11,AV$4:AV$27)+SUMIF(AS$4:AS$27,B11,AV$4:AV$27)</f>
        <v>0</v>
      </c>
      <c r="E11" s="7">
        <f>SUMIF(AP$4:AP$27,B11,AV$4:AV$27)+SUMIF(AT$4:AT$27,B11,AV$4:AV$27)</f>
        <v>0</v>
      </c>
      <c r="F11" s="7">
        <f>SUMIF($BD$3:$BD$26,B11,$BE$3:$BE$26)+SUMIF($BG$3:$BG$26,B11,$BF$3:$BF$26)</f>
        <v>0</v>
      </c>
      <c r="G11" s="7">
        <f>SUMIF($BG$3:$BG$26,B11,$BE$3:$BE$26)+SUMIF($BD$3:$BD$26,B11,$BF$3:$BF$26)</f>
        <v>0</v>
      </c>
      <c r="H11" s="7">
        <f>F11-G11+100</f>
        <v>100</v>
      </c>
      <c r="I11" s="70">
        <f>C11*3+D11</f>
        <v>0</v>
      </c>
      <c r="J11" s="7">
        <v>2409</v>
      </c>
      <c r="K11" s="7">
        <f>RANK(I11,I$11:I$14)</f>
        <v>1</v>
      </c>
      <c r="L11" s="7">
        <f>SUMPRODUCT((I$11:I$14=I11)*(H$11:H$14&gt;H11))</f>
        <v>0</v>
      </c>
      <c r="M11" s="7">
        <f>SUMPRODUCT((I$11:I$14=I11)*(H$11:H$14=H11)*(F$11:F$14&gt;F11))</f>
        <v>0</v>
      </c>
      <c r="N11" s="7">
        <f>SUMPRODUCT((I$11:I$14=I11)*(H$11:H$14=H11)*(F$11:F$14=F11)*(J$11:J$14&gt;J11))</f>
        <v>0</v>
      </c>
      <c r="O11" s="7">
        <f>X11</f>
        <v>1</v>
      </c>
      <c r="P11" s="7" t="str">
        <f>VLOOKUP(1,A$11:B$14,2,FALSE)</f>
        <v>Croatia</v>
      </c>
      <c r="Q11" s="7">
        <f>SUMIF(B$4:B$28,P11,F$4:F$28)</f>
        <v>0</v>
      </c>
      <c r="R11" s="7">
        <f>SUMIF(B$4:B$28,P11,H$4:H$28)</f>
        <v>100</v>
      </c>
      <c r="S11" s="70">
        <f>SUMIF(B$4:B$28,P11,I$4:I$28)</f>
        <v>0</v>
      </c>
      <c r="T11" s="7">
        <f aca="true" t="shared" si="7" ref="T11:V14">SUMIF($B$4:$B$28,$P11,K$4:K$28)</f>
        <v>1</v>
      </c>
      <c r="U11" s="7">
        <f t="shared" si="7"/>
        <v>0</v>
      </c>
      <c r="V11" s="7">
        <f t="shared" si="7"/>
        <v>0</v>
      </c>
      <c r="W11" s="7">
        <f>SUMIF($B$4:$B$28,$P11,J$4:J$28)</f>
        <v>2409</v>
      </c>
      <c r="X11" s="7">
        <f>IF(Y11=0,T11,T11+AG11+AH11+AI11+AJ11+AK11+AL11)</f>
        <v>1</v>
      </c>
      <c r="Y11" s="7" t="str">
        <f>IF(COUNTIF(S$11:S$14,S11)=1,0,P11)</f>
        <v>Croatia</v>
      </c>
      <c r="Z11" s="7">
        <f>SUMIF($AW$4:$AW$27,Y11,$AV$4:$AV$27)+SUMIF($AZ$4:$AZ$27,Y11,$AV$4:$AV$27)</f>
        <v>0</v>
      </c>
      <c r="AA11" s="7">
        <f>SUMIF($AX$4:$AX$27,$Y11,$AV$4:$AV$27)+SUMIF($BA$4:$BA$27,$Y11,$AV$4:$AV$27)</f>
        <v>0</v>
      </c>
      <c r="AB11" s="7">
        <f>SUMIF($AY$4:$AY$27,$Y11,$AV$4:$AV$27)+SUMIF($BB$4:$BB$27,$Y11,$AV$4:$AV$27)</f>
        <v>0</v>
      </c>
      <c r="AC11" s="7">
        <f>SUMIF(AW$4:AW$27,Y11,AQ$4:AQ$27)+SUMIF(AZ$4:AZ$27,Y11,AU$4:AU$27)+SUMIF(AX$4:AX$27,Y11,AQ$4:AQ$27)+SUMIF(BA$4:BA$27,Y11,AU$4:AU$27)</f>
        <v>0</v>
      </c>
      <c r="AD11" s="7">
        <f>SUMIF(AY$4:AY$27,Y11,AQ$4:AQ$27)+SUMIF(BB$4:BB$27,Y11,AU$4:AU$27)+SUMIF(AX$4:AX$27,Y11,AQ$4:AQ$27)+SUMIF(BA$4:BA$27,Y11,AU$4:AU$27)</f>
        <v>0</v>
      </c>
      <c r="AE11" s="7">
        <f>AC11-AD11+100</f>
        <v>100</v>
      </c>
      <c r="AF11" s="70">
        <f>IF(Y11&lt;&gt;0,Z11*3+AA11,"")</f>
        <v>0</v>
      </c>
      <c r="AG11" s="7">
        <f>IF(Y11&lt;&gt;0,RANK(AF11,AF$11:AF$14)-1,5)</f>
        <v>0</v>
      </c>
      <c r="AH11" s="7">
        <f>IF(Y11&lt;&gt;0,SUMPRODUCT((AF$11:AF$14=AF11)*(AE$11:AE$14&gt;AE11)),5)</f>
        <v>0</v>
      </c>
      <c r="AI11" s="7">
        <f>IF(Y11&lt;&gt;0,SUMPRODUCT((AF$11:AF$14=AF11)*(AE$11:AE$14=AE11)*(AC$11:AC$14&gt;AC11)),5)</f>
        <v>0</v>
      </c>
      <c r="AJ11" s="7">
        <f>IF(Y11&lt;&gt;0,SUMPRODUCT(($AF$11:$AF$14=AF11)*($AE$11:$AE$14=AE11)*($AC$11:$AC$14=AC11)*($R$11:$R$14&gt;R11)),5)</f>
        <v>0</v>
      </c>
      <c r="AK11" s="7">
        <f>IF(Y11&lt;&gt;0,SUMPRODUCT(($AF$11:$AF$14=AF11)*($AE$11:$AE$14=AE11)*($AC$11:$AC$14=AC11)*($R$11:$R$14=R11)*($Q$11:$Q$14&gt;Q11)),5)</f>
        <v>0</v>
      </c>
      <c r="AL11" s="7">
        <f>IF($Y11&lt;&gt;0,SUMPRODUCT(($AF$11:$AF$14=$AF11)*($AE$11:$AE$14=$AE11)*($AC$11:$AC$14=$AC11)*($R$11:$R$14=$R11)*($Q$11:$Q$14=$Q11)*($W$11:$W$14&gt;$W11)),5)</f>
        <v>0</v>
      </c>
      <c r="AM11" s="7">
        <v>8</v>
      </c>
      <c r="AN11" s="7">
        <f>IF(AND('Euro 2008 Schedule'!I20&lt;&gt;"",'Euro 2008 Schedule'!K20&lt;&gt;""),IF('Euro 2008 Schedule'!I20&gt;'Euro 2008 Schedule'!K20,'Euro 2008 Schedule'!G20,""),"")</f>
      </c>
      <c r="AO11" s="7">
        <f>IF(AND('Euro 2008 Schedule'!I20&lt;&gt;"",'Euro 2008 Schedule'!K20&lt;&gt;""),IF('Euro 2008 Schedule'!I20='Euro 2008 Schedule'!K20,'Euro 2008 Schedule'!G20,""),"")</f>
      </c>
      <c r="AP11" s="7">
        <f>IF(AND('Euro 2008 Schedule'!I20&lt;&gt;"",'Euro 2008 Schedule'!K20&lt;&gt;""),IF('Euro 2008 Schedule'!I20&gt;'Euro 2008 Schedule'!K20,'Euro 2008 Schedule'!M20,""),"")</f>
      </c>
      <c r="AQ11" s="7">
        <f>IF(AND('Euro 2008 Schedule'!I20&lt;&gt;"",'Euro 2008 Schedule'!K20&lt;&gt;""),'Euro 2008 Schedule'!I20,0)</f>
        <v>0</v>
      </c>
      <c r="AR11" s="7">
        <f>IF(AND('Euro 2008 Schedule'!I20&lt;&gt;"",'Euro 2008 Schedule'!K20&lt;&gt;""),IF('Euro 2008 Schedule'!I20&lt;'Euro 2008 Schedule'!K20,'Euro 2008 Schedule'!M20,""),"")</f>
      </c>
      <c r="AS11" s="7">
        <f>IF(AND('Euro 2008 Schedule'!I20&lt;&gt;"",'Euro 2008 Schedule'!K20&lt;&gt;""),IF('Euro 2008 Schedule'!I20='Euro 2008 Schedule'!K20,'Euro 2008 Schedule'!M20,""),"")</f>
      </c>
      <c r="AT11" s="7">
        <f>IF(AND('Euro 2008 Schedule'!I20&lt;&gt;"",'Euro 2008 Schedule'!K20&lt;&gt;""),IF('Euro 2008 Schedule'!I20&lt;'Euro 2008 Schedule'!K20,'Euro 2008 Schedule'!G20,""),"")</f>
      </c>
      <c r="AU11" s="7">
        <f>IF(AND('Euro 2008 Schedule'!I20&lt;&gt;"",'Euro 2008 Schedule'!K20&lt;&gt;""),'Euro 2008 Schedule'!K20,0)</f>
        <v>0</v>
      </c>
      <c r="AV11" s="7">
        <v>1</v>
      </c>
      <c r="AW11" s="7">
        <f t="shared" si="2"/>
      </c>
      <c r="AX11" s="7">
        <f t="shared" si="3"/>
      </c>
      <c r="AY11" s="7">
        <f t="shared" si="4"/>
      </c>
      <c r="AZ11" s="7">
        <f t="shared" si="5"/>
      </c>
      <c r="BA11" s="7">
        <f t="shared" si="6"/>
      </c>
      <c r="BB11" s="7">
        <f t="shared" si="1"/>
      </c>
      <c r="BC11" s="7">
        <v>9</v>
      </c>
      <c r="BD11" s="7" t="str">
        <f>'Euro 2008 Schedule'!G21</f>
        <v>Czech Republic</v>
      </c>
      <c r="BE11" s="7">
        <f>IF(AND('Euro 2008 Schedule'!I21&lt;&gt;"",'Euro 2008 Schedule'!K21&lt;&gt;""),'Euro 2008 Schedule'!I21,"")</f>
      </c>
      <c r="BF11" s="7">
        <f>IF(AND('Euro 2008 Schedule'!K21&lt;&gt;"",'Euro 2008 Schedule'!I21&lt;&gt;""),'Euro 2008 Schedule'!K21,"")</f>
      </c>
      <c r="BG11" s="7" t="str">
        <f>'Euro 2008 Schedule'!M21</f>
        <v>Portugal</v>
      </c>
    </row>
    <row r="12" spans="1:59" ht="12.75">
      <c r="A12" s="7">
        <f>K12+L12+M12+N12</f>
        <v>2</v>
      </c>
      <c r="B12" s="7" t="str">
        <f>'Euro 2008 Schedule'!G16</f>
        <v>Germany</v>
      </c>
      <c r="C12" s="7">
        <f>SUMIF(AN$4:AN$27,B12,AV$4:AV$27)+SUMIF(AR$4:AR$27,B12,AV$4:AV$27)</f>
        <v>0</v>
      </c>
      <c r="D12" s="7">
        <f>SUMIF(AO$4:AO$27,B12,AV$4:AV$27)+SUMIF(AS$4:AS$27,B12,AV$4:AV$27)</f>
        <v>0</v>
      </c>
      <c r="E12" s="7">
        <f>SUMIF(AP$4:AP$27,B12,AV$4:AV$27)+SUMIF(AT$4:AT$27,B12,AV$4:AV$27)</f>
        <v>0</v>
      </c>
      <c r="F12" s="7">
        <f>SUMIF($BD$3:$BD$26,B12,$BE$3:$BE$26)+SUMIF($BG$3:$BG$26,B12,$BF$3:$BF$26)</f>
        <v>0</v>
      </c>
      <c r="G12" s="7">
        <f>SUMIF($BG$3:$BG$26,B12,$BE$3:$BE$26)+SUMIF($BD$3:$BD$26,B12,$BF$3:$BF$26)</f>
        <v>0</v>
      </c>
      <c r="H12" s="7">
        <f>F12-G12+100</f>
        <v>100</v>
      </c>
      <c r="I12" s="70">
        <f>C12*3+D12</f>
        <v>0</v>
      </c>
      <c r="J12" s="7">
        <v>2250</v>
      </c>
      <c r="K12" s="7">
        <f>RANK(I12,I$11:I$14)</f>
        <v>1</v>
      </c>
      <c r="L12" s="7">
        <f>SUMPRODUCT((I$11:I$14=I12)*(H$11:H$14&gt;H12))</f>
        <v>0</v>
      </c>
      <c r="M12" s="7">
        <f>SUMPRODUCT((I$11:I$14=I12)*(H$11:H$14=H12)*(F$11:F$14&gt;F12))</f>
        <v>0</v>
      </c>
      <c r="N12" s="7">
        <f>SUMPRODUCT((I$11:I$14=I12)*(H$11:H$14=H12)*(F$11:F$14=F12)*(J$11:J$14&gt;J12))</f>
        <v>1</v>
      </c>
      <c r="O12" s="7">
        <f>X12</f>
        <v>2</v>
      </c>
      <c r="P12" s="7" t="str">
        <f>VLOOKUP(2,A$11:B$14,2,FALSE)</f>
        <v>Germany</v>
      </c>
      <c r="Q12" s="7">
        <f>SUMIF(B$4:B$28,P12,F$4:F$28)</f>
        <v>0</v>
      </c>
      <c r="R12" s="7">
        <f>SUMIF(B$4:B$28,P12,H$4:H$28)</f>
        <v>100</v>
      </c>
      <c r="S12" s="70">
        <f>SUMIF(B$4:B$28,P12,I$4:I$28)</f>
        <v>0</v>
      </c>
      <c r="T12" s="7">
        <f t="shared" si="7"/>
        <v>1</v>
      </c>
      <c r="U12" s="7">
        <f t="shared" si="7"/>
        <v>0</v>
      </c>
      <c r="V12" s="7">
        <f t="shared" si="7"/>
        <v>0</v>
      </c>
      <c r="W12" s="7">
        <f>SUMIF($B$4:$B$28,$P12,J$4:J$28)</f>
        <v>2250</v>
      </c>
      <c r="X12" s="7">
        <f>IF(Y12=0,T12,T12+AG12+AH12+AI12+AJ12+AK12+AL12)</f>
        <v>2</v>
      </c>
      <c r="Y12" s="7" t="str">
        <f>IF(COUNTIF(S$11:S$14,S12)=1,0,P12)</f>
        <v>Germany</v>
      </c>
      <c r="Z12" s="7">
        <f>SUMIF($AW$4:$AW$27,Y12,$AV$4:$AV$27)+SUMIF($AZ$4:$AZ$27,Y12,$AV$4:$AV$27)</f>
        <v>0</v>
      </c>
      <c r="AA12" s="7">
        <f>SUMIF($AX$4:$AX$27,$Y12,$AV$4:$AV$27)+SUMIF($BA$4:$BA$27,$Y12,$AV$4:$AV$27)</f>
        <v>0</v>
      </c>
      <c r="AB12" s="7">
        <f>SUMIF($AY$4:$AY$27,$Y12,$AV$4:$AV$27)+SUMIF($BB$4:$BB$27,$Y12,$AV$4:$AV$27)</f>
        <v>0</v>
      </c>
      <c r="AC12" s="7">
        <f>SUMIF(AW$4:AW$27,Y12,AQ$4:AQ$27)+SUMIF(AZ$4:AZ$27,Y12,AU$4:AU$27)+SUMIF(AX$4:AX$27,Y12,AQ$4:AQ$27)+SUMIF(BA$4:BA$27,Y12,AU$4:AU$27)</f>
        <v>0</v>
      </c>
      <c r="AD12" s="7">
        <f>SUMIF(AY$4:AY$27,Y12,AQ$4:AQ$27)+SUMIF(BB$4:BB$27,Y12,AU$4:AU$27)+SUMIF(AX$4:AX$27,Y12,AQ$4:AQ$27)+SUMIF(BA$4:BA$27,Y12,AU$4:AU$27)</f>
        <v>0</v>
      </c>
      <c r="AE12" s="7">
        <f>AC12-AD12+100</f>
        <v>100</v>
      </c>
      <c r="AF12" s="70">
        <f>IF(Y12&lt;&gt;0,Z12*3+AA12,"")</f>
        <v>0</v>
      </c>
      <c r="AG12" s="7">
        <f>IF(Y12&lt;&gt;0,RANK(AF12,AF$11:AF$14)-1,5)</f>
        <v>0</v>
      </c>
      <c r="AH12" s="7">
        <f>IF(Y12&lt;&gt;0,SUMPRODUCT((AF$11:AF$14=AF12)*(AE$11:AE$14&gt;AE12)),5)</f>
        <v>0</v>
      </c>
      <c r="AI12" s="7">
        <f>IF(Y12&lt;&gt;0,SUMPRODUCT((AF$11:AF$14=AF12)*(AE$11:AE$14=AE12)*(AC$11:AC$14&gt;AC12)),5)</f>
        <v>0</v>
      </c>
      <c r="AJ12" s="7">
        <f>IF(Y12&lt;&gt;0,SUMPRODUCT(($AF$11:$AF$14=AF12)*($AE$11:$AE$14=AE12)*($AC$11:$AC$14=AC12)*($R$11:$R$14&gt;R12)),5)</f>
        <v>0</v>
      </c>
      <c r="AK12" s="7">
        <f>IF(Y12&lt;&gt;0,SUMPRODUCT(($AF$11:$AF$14=AF12)*($AE$11:$AE$14=AE12)*($AC$11:$AC$14=AC12)*($R$11:$R$14=R12)*($Q$11:$Q$14&gt;Q12)),5)</f>
        <v>0</v>
      </c>
      <c r="AL12" s="7">
        <f>IF($Y12&lt;&gt;0,SUMPRODUCT(($AF$11:$AF$14=$AF12)*($AE$11:$AE$14=$AE12)*($AC$11:$AC$14=$AC12)*($R$11:$R$14=$R12)*($Q$11:$Q$14=$Q12)*($W$11:$W$14&gt;$W12)),5)</f>
        <v>1</v>
      </c>
      <c r="AM12" s="7">
        <v>9</v>
      </c>
      <c r="AN12" s="7">
        <f>IF(AND('Euro 2008 Schedule'!I21&lt;&gt;"",'Euro 2008 Schedule'!K21&lt;&gt;""),IF('Euro 2008 Schedule'!I21&gt;'Euro 2008 Schedule'!K21,'Euro 2008 Schedule'!G21,""),"")</f>
      </c>
      <c r="AO12" s="7">
        <f>IF(AND('Euro 2008 Schedule'!I21&lt;&gt;"",'Euro 2008 Schedule'!K21&lt;&gt;""),IF('Euro 2008 Schedule'!I21='Euro 2008 Schedule'!K21,'Euro 2008 Schedule'!G21,""),"")</f>
      </c>
      <c r="AP12" s="7">
        <f>IF(AND('Euro 2008 Schedule'!I21&lt;&gt;"",'Euro 2008 Schedule'!K21&lt;&gt;""),IF('Euro 2008 Schedule'!I21&gt;'Euro 2008 Schedule'!K21,'Euro 2008 Schedule'!M21,""),"")</f>
      </c>
      <c r="AQ12" s="7">
        <f>IF(AND('Euro 2008 Schedule'!I21&lt;&gt;"",'Euro 2008 Schedule'!K21&lt;&gt;""),'Euro 2008 Schedule'!I21,0)</f>
        <v>0</v>
      </c>
      <c r="AR12" s="7">
        <f>IF(AND('Euro 2008 Schedule'!I21&lt;&gt;"",'Euro 2008 Schedule'!K21&lt;&gt;""),IF('Euro 2008 Schedule'!I21&lt;'Euro 2008 Schedule'!K21,'Euro 2008 Schedule'!M21,""),"")</f>
      </c>
      <c r="AS12" s="7">
        <f>IF(AND('Euro 2008 Schedule'!I21&lt;&gt;"",'Euro 2008 Schedule'!K21&lt;&gt;""),IF('Euro 2008 Schedule'!I21='Euro 2008 Schedule'!K21,'Euro 2008 Schedule'!M21,""),"")</f>
      </c>
      <c r="AT12" s="7">
        <f>IF(AND('Euro 2008 Schedule'!I21&lt;&gt;"",'Euro 2008 Schedule'!K21&lt;&gt;""),IF('Euro 2008 Schedule'!I21&lt;'Euro 2008 Schedule'!K21,'Euro 2008 Schedule'!G21,""),"")</f>
      </c>
      <c r="AU12" s="7">
        <f>IF(AND('Euro 2008 Schedule'!I21&lt;&gt;"",'Euro 2008 Schedule'!K21&lt;&gt;""),'Euro 2008 Schedule'!K21,0)</f>
        <v>0</v>
      </c>
      <c r="AV12" s="7">
        <v>1</v>
      </c>
      <c r="AW12" s="7">
        <f t="shared" si="2"/>
      </c>
      <c r="AX12" s="7">
        <f t="shared" si="3"/>
      </c>
      <c r="AY12" s="7">
        <f t="shared" si="4"/>
      </c>
      <c r="AZ12" s="7">
        <f t="shared" si="5"/>
      </c>
      <c r="BA12" s="7">
        <f t="shared" si="6"/>
      </c>
      <c r="BB12" s="7">
        <f t="shared" si="1"/>
      </c>
      <c r="BC12" s="7">
        <v>10</v>
      </c>
      <c r="BD12" s="7" t="str">
        <f>'Euro 2008 Schedule'!G22</f>
        <v>Switzerland</v>
      </c>
      <c r="BE12" s="7">
        <f>IF(AND('Euro 2008 Schedule'!I22&lt;&gt;"",'Euro 2008 Schedule'!K22&lt;&gt;""),'Euro 2008 Schedule'!I22,"")</f>
      </c>
      <c r="BF12" s="7">
        <f>IF(AND('Euro 2008 Schedule'!K22&lt;&gt;"",'Euro 2008 Schedule'!I22&lt;&gt;""),'Euro 2008 Schedule'!K22,"")</f>
      </c>
      <c r="BG12" s="7" t="str">
        <f>'Euro 2008 Schedule'!M22</f>
        <v>Turkey</v>
      </c>
    </row>
    <row r="13" spans="1:59" ht="12.75">
      <c r="A13" s="7">
        <f>K13+L13+M13+N13</f>
        <v>3</v>
      </c>
      <c r="B13" s="7" t="str">
        <f>'Euro 2008 Schedule'!M16</f>
        <v>Poland</v>
      </c>
      <c r="C13" s="7">
        <f>SUMIF(AN$4:AN$27,B13,AV$4:AV$27)+SUMIF(AR$4:AR$27,B13,AV$4:AV$27)</f>
        <v>0</v>
      </c>
      <c r="D13" s="7">
        <f>SUMIF(AO$4:AO$27,B13,AV$4:AV$27)+SUMIF(AS$4:AS$27,B13,AV$4:AV$27)</f>
        <v>0</v>
      </c>
      <c r="E13" s="7">
        <f>SUMIF(AP$4:AP$27,B13,AV$4:AV$27)+SUMIF(AT$4:AT$27,B13,AV$4:AV$27)</f>
        <v>0</v>
      </c>
      <c r="F13" s="7">
        <f>SUMIF($BD$3:$BD$26,B13,$BE$3:$BE$26)+SUMIF($BG$3:$BG$26,B13,$BF$3:$BF$26)</f>
        <v>0</v>
      </c>
      <c r="G13" s="7">
        <f>SUMIF($BG$3:$BG$26,B13,$BE$3:$BE$26)+SUMIF($BD$3:$BD$26,B13,$BF$3:$BF$26)</f>
        <v>0</v>
      </c>
      <c r="H13" s="7">
        <f>F13-G13+100</f>
        <v>100</v>
      </c>
      <c r="I13" s="70">
        <f>C13*3+D13</f>
        <v>0</v>
      </c>
      <c r="J13" s="7">
        <v>2167</v>
      </c>
      <c r="K13" s="7">
        <f>RANK(I13,I$11:I$14)</f>
        <v>1</v>
      </c>
      <c r="L13" s="7">
        <f>SUMPRODUCT((I$11:I$14=I13)*(H$11:H$14&gt;H13))</f>
        <v>0</v>
      </c>
      <c r="M13" s="7">
        <f>SUMPRODUCT((I$11:I$14=I13)*(H$11:H$14=H13)*(F$11:F$14&gt;F13))</f>
        <v>0</v>
      </c>
      <c r="N13" s="7">
        <f>SUMPRODUCT((I$11:I$14=I13)*(H$11:H$14=H13)*(F$11:F$14=F13)*(J$11:J$14&gt;J13))</f>
        <v>2</v>
      </c>
      <c r="O13" s="7">
        <f>IF(X13=5,3,IF(X13=6,4,X13))</f>
        <v>3</v>
      </c>
      <c r="P13" s="7" t="str">
        <f>VLOOKUP(3,A$11:B$14,2,FALSE)</f>
        <v>Poland</v>
      </c>
      <c r="Q13" s="7">
        <f>SUMIF(B$4:B$28,P13,F$4:F$28)</f>
        <v>0</v>
      </c>
      <c r="R13" s="7">
        <f>SUMIF(B$4:B$28,P13,H$4:H$28)</f>
        <v>100</v>
      </c>
      <c r="S13" s="70">
        <f>SUMIF(B$4:B$28,P13,I$4:I$28)</f>
        <v>0</v>
      </c>
      <c r="T13" s="7">
        <f t="shared" si="7"/>
        <v>1</v>
      </c>
      <c r="U13" s="7">
        <f t="shared" si="7"/>
        <v>0</v>
      </c>
      <c r="V13" s="7">
        <f t="shared" si="7"/>
        <v>0</v>
      </c>
      <c r="W13" s="7">
        <f>SUMIF($B$4:$B$28,$P13,J$4:J$28)</f>
        <v>2167</v>
      </c>
      <c r="X13" s="7">
        <f>IF(Y13=0,T13,T13+AG13+AH13+AI13+AJ13+AK13+AL13)</f>
        <v>3</v>
      </c>
      <c r="Y13" s="7" t="str">
        <f>IF(S13=S12,IF(COUNTIF(S$11:S$14,S13)=1,0,P13),0)</f>
        <v>Poland</v>
      </c>
      <c r="Z13" s="7">
        <f>SUMIF($AW$4:$AW$27,Y13,$AV$4:$AV$27)+SUMIF($AZ$4:$AZ$27,Y13,$AV$4:$AV$27)</f>
        <v>0</v>
      </c>
      <c r="AA13" s="7">
        <f>SUMIF($AX$4:$AX$27,$Y13,$AV$4:$AV$27)+SUMIF($BA$4:$BA$27,$Y13,$AV$4:$AV$27)</f>
        <v>0</v>
      </c>
      <c r="AB13" s="7">
        <f>SUMIF($AY$4:$AY$27,$Y13,$AV$4:$AV$27)+SUMIF($BB$4:$BB$27,$Y13,$AV$4:$AV$27)</f>
        <v>0</v>
      </c>
      <c r="AC13" s="7">
        <f>SUMIF(AW$4:AW$27,Y13,AQ$4:AQ$27)+SUMIF(AZ$4:AZ$27,Y13,AU$4:AU$27)+SUMIF(AX$4:AX$27,Y13,AQ$4:AQ$27)+SUMIF(BA$4:BA$27,Y13,AU$4:AU$27)</f>
        <v>0</v>
      </c>
      <c r="AD13" s="7">
        <f>SUMIF(AY$4:AY$27,Y13,AQ$4:AQ$27)+SUMIF(BB$4:BB$27,Y13,AU$4:AU$27)+SUMIF(AX$4:AX$27,Y13,AQ$4:AQ$27)+SUMIF(BA$4:BA$27,Y13,AU$4:AU$27)</f>
        <v>0</v>
      </c>
      <c r="AE13" s="7">
        <f>AC13-AD13+100</f>
        <v>100</v>
      </c>
      <c r="AF13" s="70">
        <f>IF(Y13&lt;&gt;0,Z13*3+AA13,"")</f>
        <v>0</v>
      </c>
      <c r="AG13" s="7">
        <f>IF(Y13&lt;&gt;0,RANK(AF13,AF$11:AF$14)-1,5)</f>
        <v>0</v>
      </c>
      <c r="AH13" s="7">
        <f>IF(Y13&lt;&gt;0,SUMPRODUCT((AF$11:AF$14=AF13)*(AE$11:AE$14&gt;AE13)),5)</f>
        <v>0</v>
      </c>
      <c r="AI13" s="7">
        <f>IF(Y13&lt;&gt;0,SUMPRODUCT((AF$11:AF$14=AF13)*(AE$11:AE$14=AE13)*(AC$11:AC$14&gt;AC13)),5)</f>
        <v>0</v>
      </c>
      <c r="AJ13" s="7">
        <f>IF(Y13&lt;&gt;0,SUMPRODUCT(($AF$11:$AF$14=AF13)*($AE$11:$AE$14=AE13)*($AC$11:$AC$14=AC13)*($R$11:$R$14&gt;R13)),5)</f>
        <v>0</v>
      </c>
      <c r="AK13" s="7">
        <f>IF(Y13&lt;&gt;0,SUMPRODUCT(($AF$11:$AF$14=AF13)*($AE$11:$AE$14=AE13)*($AC$11:$AC$14=AC13)*($R$11:$R$14=R13)*($Q$11:$Q$14&gt;Q13)),5)</f>
        <v>0</v>
      </c>
      <c r="AL13" s="7">
        <f>IF($Y13&lt;&gt;0,SUMPRODUCT(($AF$11:$AF$14=$AF13)*($AE$11:$AE$14=$AE13)*($AC$11:$AC$14=$AC13)*($R$11:$R$14=$R13)*($Q$11:$Q$14=$Q13)*($W$11:$W$14&gt;$W13)),5)</f>
        <v>2</v>
      </c>
      <c r="AM13" s="7">
        <v>10</v>
      </c>
      <c r="AN13" s="7">
        <f>IF(AND('Euro 2008 Schedule'!I22&lt;&gt;"",'Euro 2008 Schedule'!K22&lt;&gt;""),IF('Euro 2008 Schedule'!I22&gt;'Euro 2008 Schedule'!K22,'Euro 2008 Schedule'!G22,""),"")</f>
      </c>
      <c r="AO13" s="7">
        <f>IF(AND('Euro 2008 Schedule'!I22&lt;&gt;"",'Euro 2008 Schedule'!K22&lt;&gt;""),IF('Euro 2008 Schedule'!I22='Euro 2008 Schedule'!K22,'Euro 2008 Schedule'!G22,""),"")</f>
      </c>
      <c r="AP13" s="7">
        <f>IF(AND('Euro 2008 Schedule'!I22&lt;&gt;"",'Euro 2008 Schedule'!K22&lt;&gt;""),IF('Euro 2008 Schedule'!I22&gt;'Euro 2008 Schedule'!K22,'Euro 2008 Schedule'!M22,""),"")</f>
      </c>
      <c r="AQ13" s="7">
        <f>IF(AND('Euro 2008 Schedule'!I22&lt;&gt;"",'Euro 2008 Schedule'!K22&lt;&gt;""),'Euro 2008 Schedule'!I22,0)</f>
        <v>0</v>
      </c>
      <c r="AR13" s="7">
        <f>IF(AND('Euro 2008 Schedule'!I22&lt;&gt;"",'Euro 2008 Schedule'!K22&lt;&gt;""),IF('Euro 2008 Schedule'!I22&lt;'Euro 2008 Schedule'!K22,'Euro 2008 Schedule'!M22,""),"")</f>
      </c>
      <c r="AS13" s="7">
        <f>IF(AND('Euro 2008 Schedule'!I22&lt;&gt;"",'Euro 2008 Schedule'!K22&lt;&gt;""),IF('Euro 2008 Schedule'!I22='Euro 2008 Schedule'!K22,'Euro 2008 Schedule'!M22,""),"")</f>
      </c>
      <c r="AT13" s="7">
        <f>IF(AND('Euro 2008 Schedule'!I22&lt;&gt;"",'Euro 2008 Schedule'!K22&lt;&gt;""),IF('Euro 2008 Schedule'!I22&lt;'Euro 2008 Schedule'!K22,'Euro 2008 Schedule'!G22,""),"")</f>
      </c>
      <c r="AU13" s="7">
        <f>IF(AND('Euro 2008 Schedule'!I22&lt;&gt;"",'Euro 2008 Schedule'!K22&lt;&gt;""),'Euro 2008 Schedule'!K22,0)</f>
        <v>0</v>
      </c>
      <c r="AV13" s="7">
        <v>1</v>
      </c>
      <c r="AW13" s="7">
        <f t="shared" si="2"/>
      </c>
      <c r="AX13" s="7">
        <f t="shared" si="3"/>
      </c>
      <c r="AY13" s="7">
        <f t="shared" si="4"/>
      </c>
      <c r="AZ13" s="7">
        <f t="shared" si="5"/>
      </c>
      <c r="BA13" s="7">
        <f t="shared" si="6"/>
      </c>
      <c r="BB13" s="7">
        <f t="shared" si="1"/>
      </c>
      <c r="BC13" s="7">
        <v>11</v>
      </c>
      <c r="BD13" s="7" t="str">
        <f>'Euro 2008 Schedule'!G23</f>
        <v>Croatia</v>
      </c>
      <c r="BE13" s="7">
        <f>IF(AND('Euro 2008 Schedule'!I23&lt;&gt;"",'Euro 2008 Schedule'!K23&lt;&gt;""),'Euro 2008 Schedule'!I23,"")</f>
      </c>
      <c r="BF13" s="7">
        <f>IF(AND('Euro 2008 Schedule'!K23&lt;&gt;"",'Euro 2008 Schedule'!I23&lt;&gt;""),'Euro 2008 Schedule'!K23,"")</f>
      </c>
      <c r="BG13" s="7" t="str">
        <f>'Euro 2008 Schedule'!M23</f>
        <v>Germany</v>
      </c>
    </row>
    <row r="14" spans="1:59" ht="12.75">
      <c r="A14" s="7">
        <f>K14+L14+M14+N14</f>
        <v>4</v>
      </c>
      <c r="B14" s="7" t="str">
        <f>'Euro 2008 Schedule'!G15</f>
        <v>Austria</v>
      </c>
      <c r="C14" s="7">
        <f>SUMIF(AN$4:AN$27,B14,AV$4:AV$27)+SUMIF(AR$4:AR$27,B14,AV$4:AV$27)</f>
        <v>0</v>
      </c>
      <c r="D14" s="7">
        <f>SUMIF(AO$4:AO$27,B14,AV$4:AV$27)+SUMIF(AS$4:AS$27,B14,AV$4:AV$27)</f>
        <v>0</v>
      </c>
      <c r="E14" s="7">
        <f>SUMIF(AP$4:AP$27,B14,AV$4:AV$27)+SUMIF(AT$4:AT$27,B14,AV$4:AV$27)</f>
        <v>0</v>
      </c>
      <c r="F14" s="7">
        <f>SUMIF($BD$3:$BD$26,B14,$BE$3:$BE$26)+SUMIF($BG$3:$BG$26,B14,$BF$3:$BF$26)</f>
        <v>0</v>
      </c>
      <c r="G14" s="7">
        <f>SUMIF($BG$3:$BG$26,B14,$BE$3:$BE$26)+SUMIF($BD$3:$BD$26,B14,$BF$3:$BF$26)</f>
        <v>0</v>
      </c>
      <c r="H14" s="7">
        <f>F14-G14+100</f>
        <v>100</v>
      </c>
      <c r="I14" s="70">
        <f>C14*3+D14</f>
        <v>0</v>
      </c>
      <c r="J14" s="7">
        <v>1500</v>
      </c>
      <c r="K14" s="7">
        <f>RANK(I14,I$11:I$14)</f>
        <v>1</v>
      </c>
      <c r="L14" s="7">
        <f>SUMPRODUCT((I$11:I$14=I14)*(H$11:H$14&gt;H14))</f>
        <v>0</v>
      </c>
      <c r="M14" s="7">
        <f>SUMPRODUCT((I$11:I$14=I14)*(H$11:H$14=H14)*(F$11:F$14&gt;F14))</f>
        <v>0</v>
      </c>
      <c r="N14" s="7">
        <f>SUMPRODUCT((I$11:I$14=I14)*(H$11:H$14=H14)*(F$11:F$14=F14)*(J$11:J$14&gt;J14))</f>
        <v>3</v>
      </c>
      <c r="O14" s="7">
        <f>IF(X14=X13,IF(X14=3,4,X14),IF(X14=5,3,IF(X14=6,4,X14)))</f>
        <v>4</v>
      </c>
      <c r="P14" s="7" t="str">
        <f>VLOOKUP(4,A$11:B$14,2,FALSE)</f>
        <v>Austria</v>
      </c>
      <c r="Q14" s="7">
        <f>SUMIF(B$4:B$28,P14,F$4:F$28)</f>
        <v>0</v>
      </c>
      <c r="R14" s="7">
        <f>SUMIF(B$4:B$28,P14,H$4:H$28)</f>
        <v>100</v>
      </c>
      <c r="S14" s="70">
        <f>SUMIF(B$4:B$28,P14,I$4:I$28)</f>
        <v>0</v>
      </c>
      <c r="T14" s="7">
        <f t="shared" si="7"/>
        <v>1</v>
      </c>
      <c r="U14" s="7">
        <f t="shared" si="7"/>
        <v>0</v>
      </c>
      <c r="V14" s="7">
        <f t="shared" si="7"/>
        <v>0</v>
      </c>
      <c r="W14" s="7">
        <f>SUMIF($B$4:$B$28,$P14,J$4:J$28)</f>
        <v>1500</v>
      </c>
      <c r="X14" s="7">
        <f>IF(Y14=0,T14,T14+AG14+AH14+AI14+AJ14+AK14+AL14)</f>
        <v>4</v>
      </c>
      <c r="Y14" s="7" t="str">
        <f>IF(Y13=0,0,IF(COUNTIF(S$11:S$14,S14)=1,0,P14))</f>
        <v>Austria</v>
      </c>
      <c r="Z14" s="7">
        <f>SUMIF($AW$4:$AW$27,Y14,$AV$4:$AV$27)+SUMIF($AZ$4:$AZ$27,Y14,$AV$4:$AV$27)</f>
        <v>0</v>
      </c>
      <c r="AA14" s="7">
        <f>SUMIF($AX$4:$AX$27,$Y14,$AV$4:$AV$27)+SUMIF($BA$4:$BA$27,$Y14,$AV$4:$AV$27)</f>
        <v>0</v>
      </c>
      <c r="AB14" s="7">
        <f>SUMIF($AY$4:$AY$27,$Y14,$AV$4:$AV$27)+SUMIF($BB$4:$BB$27,$Y14,$AV$4:$AV$27)</f>
        <v>0</v>
      </c>
      <c r="AC14" s="7">
        <f>SUMIF(AW$4:AW$27,Y14,AQ$4:AQ$27)+SUMIF(AZ$4:AZ$27,Y14,AU$4:AU$27)+SUMIF(AX$4:AX$27,Y14,AQ$4:AQ$27)+SUMIF(BA$4:BA$27,Y14,AU$4:AU$27)</f>
        <v>0</v>
      </c>
      <c r="AD14" s="7">
        <f>SUMIF(AY$4:AY$27,Y14,AQ$4:AQ$27)+SUMIF(BB$4:BB$27,Y14,AU$4:AU$27)+SUMIF(AX$4:AX$27,Y14,AQ$4:AQ$27)+SUMIF(BA$4:BA$27,Y14,AU$4:AU$27)</f>
        <v>0</v>
      </c>
      <c r="AE14" s="7">
        <f>AC14-AD14+100</f>
        <v>100</v>
      </c>
      <c r="AF14" s="70">
        <f>IF(Y14&lt;&gt;0,Z14*3+AA14,"")</f>
        <v>0</v>
      </c>
      <c r="AG14" s="7">
        <f>IF(Y14&lt;&gt;0,RANK(AF14,AF$11:AF$14)-1,5)</f>
        <v>0</v>
      </c>
      <c r="AH14" s="7">
        <f>IF(Y14&lt;&gt;0,SUMPRODUCT((AF$11:AF$14=AF14)*(AE$11:AE$14&gt;AE14)),5)</f>
        <v>0</v>
      </c>
      <c r="AI14" s="7">
        <f>IF(Y14&lt;&gt;0,SUMPRODUCT((AF$11:AF$14=AF14)*(AE$11:AE$14=AE14)*(AC$11:AC$14&gt;AC14)),5)</f>
        <v>0</v>
      </c>
      <c r="AJ14" s="7">
        <f>IF(Y14&lt;&gt;0,SUMPRODUCT(($AF$11:$AF$14=AF14)*($AE$11:$AE$14=AE14)*($AC$11:$AC$14=AC14)*($R$11:$R$14&gt;R14)),5)</f>
        <v>0</v>
      </c>
      <c r="AK14" s="7">
        <f>IF(Y14&lt;&gt;0,SUMPRODUCT(($AF$11:$AF$14=AF14)*($AE$11:$AE$14=AE14)*($AC$11:$AC$14=AC14)*($R$11:$R$14=R14)*($Q$11:$Q$14&gt;Q14)),5)</f>
        <v>0</v>
      </c>
      <c r="AL14" s="7">
        <f>IF($Y14&lt;&gt;0,SUMPRODUCT(($AF$11:$AF$14=$AF14)*($AE$11:$AE$14=$AE14)*($AC$11:$AC$14=$AC14)*($R$11:$R$14=$R14)*($Q$11:$Q$14=$Q14)*($W$11:$W$14&gt;$W14)),5)</f>
        <v>3</v>
      </c>
      <c r="AM14" s="7">
        <v>11</v>
      </c>
      <c r="AN14" s="7">
        <f>IF(AND('Euro 2008 Schedule'!I23&lt;&gt;"",'Euro 2008 Schedule'!K23&lt;&gt;""),IF('Euro 2008 Schedule'!I23&gt;'Euro 2008 Schedule'!K23,'Euro 2008 Schedule'!G23,""),"")</f>
      </c>
      <c r="AO14" s="7">
        <f>IF(AND('Euro 2008 Schedule'!I23&lt;&gt;"",'Euro 2008 Schedule'!K23&lt;&gt;""),IF('Euro 2008 Schedule'!I23='Euro 2008 Schedule'!K23,'Euro 2008 Schedule'!G23,""),"")</f>
      </c>
      <c r="AP14" s="7">
        <f>IF(AND('Euro 2008 Schedule'!I23&lt;&gt;"",'Euro 2008 Schedule'!K23&lt;&gt;""),IF('Euro 2008 Schedule'!I23&gt;'Euro 2008 Schedule'!K23,'Euro 2008 Schedule'!M23,""),"")</f>
      </c>
      <c r="AQ14" s="7">
        <f>IF(AND('Euro 2008 Schedule'!I23&lt;&gt;"",'Euro 2008 Schedule'!K23&lt;&gt;""),'Euro 2008 Schedule'!I23,0)</f>
        <v>0</v>
      </c>
      <c r="AR14" s="7">
        <f>IF(AND('Euro 2008 Schedule'!I23&lt;&gt;"",'Euro 2008 Schedule'!K23&lt;&gt;""),IF('Euro 2008 Schedule'!I23&lt;'Euro 2008 Schedule'!K23,'Euro 2008 Schedule'!M23,""),"")</f>
      </c>
      <c r="AS14" s="7">
        <f>IF(AND('Euro 2008 Schedule'!I23&lt;&gt;"",'Euro 2008 Schedule'!K23&lt;&gt;""),IF('Euro 2008 Schedule'!I23='Euro 2008 Schedule'!K23,'Euro 2008 Schedule'!M23,""),"")</f>
      </c>
      <c r="AT14" s="7">
        <f>IF(AND('Euro 2008 Schedule'!I23&lt;&gt;"",'Euro 2008 Schedule'!K23&lt;&gt;""),IF('Euro 2008 Schedule'!I23&lt;'Euro 2008 Schedule'!K23,'Euro 2008 Schedule'!G23,""),"")</f>
      </c>
      <c r="AU14" s="7">
        <f>IF(AND('Euro 2008 Schedule'!I23&lt;&gt;"",'Euro 2008 Schedule'!K23&lt;&gt;""),'Euro 2008 Schedule'!K23,0)</f>
        <v>0</v>
      </c>
      <c r="AV14" s="7">
        <v>1</v>
      </c>
      <c r="AW14" s="7">
        <f t="shared" si="2"/>
      </c>
      <c r="AX14" s="7">
        <f t="shared" si="3"/>
      </c>
      <c r="AY14" s="7">
        <f t="shared" si="4"/>
      </c>
      <c r="AZ14" s="7">
        <f t="shared" si="5"/>
      </c>
      <c r="BA14" s="7">
        <f t="shared" si="6"/>
      </c>
      <c r="BB14" s="7">
        <f t="shared" si="1"/>
      </c>
      <c r="BC14" s="7">
        <v>12</v>
      </c>
      <c r="BD14" s="7" t="str">
        <f>'Euro 2008 Schedule'!G24</f>
        <v>Austria</v>
      </c>
      <c r="BE14" s="7">
        <f>IF(AND('Euro 2008 Schedule'!I24&lt;&gt;"",'Euro 2008 Schedule'!K24&lt;&gt;""),'Euro 2008 Schedule'!I24,"")</f>
      </c>
      <c r="BF14" s="7">
        <f>IF(AND('Euro 2008 Schedule'!K24&lt;&gt;"",'Euro 2008 Schedule'!I24&lt;&gt;""),'Euro 2008 Schedule'!K24,"")</f>
      </c>
      <c r="BG14" s="7" t="str">
        <f>'Euro 2008 Schedule'!M24</f>
        <v>Poland</v>
      </c>
    </row>
    <row r="15" spans="9:59" ht="12.75">
      <c r="I15" s="70"/>
      <c r="S15" s="70"/>
      <c r="AF15" s="70"/>
      <c r="AM15" s="7">
        <v>12</v>
      </c>
      <c r="AN15" s="7">
        <f>IF(AND('Euro 2008 Schedule'!I24&lt;&gt;"",'Euro 2008 Schedule'!K24&lt;&gt;""),IF('Euro 2008 Schedule'!I24&gt;'Euro 2008 Schedule'!K24,'Euro 2008 Schedule'!G24,""),"")</f>
      </c>
      <c r="AO15" s="7">
        <f>IF(AND('Euro 2008 Schedule'!I24&lt;&gt;"",'Euro 2008 Schedule'!K24&lt;&gt;""),IF('Euro 2008 Schedule'!I24='Euro 2008 Schedule'!K24,'Euro 2008 Schedule'!G24,""),"")</f>
      </c>
      <c r="AP15" s="7">
        <f>IF(AND('Euro 2008 Schedule'!I24&lt;&gt;"",'Euro 2008 Schedule'!K24&lt;&gt;""),IF('Euro 2008 Schedule'!I24&gt;'Euro 2008 Schedule'!K24,'Euro 2008 Schedule'!M24,""),"")</f>
      </c>
      <c r="AQ15" s="7">
        <f>IF(AND('Euro 2008 Schedule'!I24&lt;&gt;"",'Euro 2008 Schedule'!K24&lt;&gt;""),'Euro 2008 Schedule'!I24,0)</f>
        <v>0</v>
      </c>
      <c r="AR15" s="7">
        <f>IF(AND('Euro 2008 Schedule'!I24&lt;&gt;"",'Euro 2008 Schedule'!K24&lt;&gt;""),IF('Euro 2008 Schedule'!I24&lt;'Euro 2008 Schedule'!K24,'Euro 2008 Schedule'!M24,""),"")</f>
      </c>
      <c r="AS15" s="7">
        <f>IF(AND('Euro 2008 Schedule'!I24&lt;&gt;"",'Euro 2008 Schedule'!K24&lt;&gt;""),IF('Euro 2008 Schedule'!I24='Euro 2008 Schedule'!K24,'Euro 2008 Schedule'!M24,""),"")</f>
      </c>
      <c r="AT15" s="7">
        <f>IF(AND('Euro 2008 Schedule'!I24&lt;&gt;"",'Euro 2008 Schedule'!K24&lt;&gt;""),IF('Euro 2008 Schedule'!I24&lt;'Euro 2008 Schedule'!K24,'Euro 2008 Schedule'!G24,""),"")</f>
      </c>
      <c r="AU15" s="7">
        <f>IF(AND('Euro 2008 Schedule'!I24&lt;&gt;"",'Euro 2008 Schedule'!K24&lt;&gt;""),'Euro 2008 Schedule'!K24,0)</f>
        <v>0</v>
      </c>
      <c r="AV15" s="7">
        <v>1</v>
      </c>
      <c r="AW15" s="7">
        <f t="shared" si="2"/>
      </c>
      <c r="AX15" s="7">
        <f t="shared" si="3"/>
      </c>
      <c r="AY15" s="7">
        <f t="shared" si="4"/>
      </c>
      <c r="AZ15" s="7">
        <f t="shared" si="5"/>
      </c>
      <c r="BA15" s="7">
        <f t="shared" si="6"/>
      </c>
      <c r="BB15" s="7">
        <f t="shared" si="1"/>
      </c>
      <c r="BC15" s="7">
        <v>13</v>
      </c>
      <c r="BD15" s="7" t="str">
        <f>'Euro 2008 Schedule'!G25</f>
        <v>Italy</v>
      </c>
      <c r="BE15" s="7">
        <f>IF(AND('Euro 2008 Schedule'!I25&lt;&gt;"",'Euro 2008 Schedule'!K25&lt;&gt;""),'Euro 2008 Schedule'!I25,"")</f>
      </c>
      <c r="BF15" s="7">
        <f>IF(AND('Euro 2008 Schedule'!K25&lt;&gt;"",'Euro 2008 Schedule'!I25&lt;&gt;""),'Euro 2008 Schedule'!K25,"")</f>
      </c>
      <c r="BG15" s="7" t="str">
        <f>'Euro 2008 Schedule'!M25</f>
        <v>Romania</v>
      </c>
    </row>
    <row r="16" spans="2:59" ht="12.75">
      <c r="B16" s="7" t="s">
        <v>27</v>
      </c>
      <c r="C16" s="7" t="s">
        <v>22</v>
      </c>
      <c r="D16" s="7" t="s">
        <v>23</v>
      </c>
      <c r="E16" s="7" t="s">
        <v>24</v>
      </c>
      <c r="F16" s="7" t="s">
        <v>29</v>
      </c>
      <c r="G16" s="7" t="s">
        <v>30</v>
      </c>
      <c r="H16" s="7" t="s">
        <v>574</v>
      </c>
      <c r="I16" s="70" t="s">
        <v>425</v>
      </c>
      <c r="S16" s="70"/>
      <c r="AF16" s="70"/>
      <c r="AM16" s="7">
        <v>13</v>
      </c>
      <c r="AN16" s="7">
        <f>IF(AND('Euro 2008 Schedule'!I25&lt;&gt;"",'Euro 2008 Schedule'!K25&lt;&gt;""),IF('Euro 2008 Schedule'!I25&gt;'Euro 2008 Schedule'!K25,'Euro 2008 Schedule'!G25,""),"")</f>
      </c>
      <c r="AO16" s="7">
        <f>IF(AND('Euro 2008 Schedule'!I25&lt;&gt;"",'Euro 2008 Schedule'!K25&lt;&gt;""),IF('Euro 2008 Schedule'!I25='Euro 2008 Schedule'!K25,'Euro 2008 Schedule'!G25,""),"")</f>
      </c>
      <c r="AP16" s="7">
        <f>IF(AND('Euro 2008 Schedule'!I25&lt;&gt;"",'Euro 2008 Schedule'!K25&lt;&gt;""),IF('Euro 2008 Schedule'!I25&gt;'Euro 2008 Schedule'!K25,'Euro 2008 Schedule'!M25,""),"")</f>
      </c>
      <c r="AQ16" s="7">
        <f>IF(AND('Euro 2008 Schedule'!I25&lt;&gt;"",'Euro 2008 Schedule'!K25&lt;&gt;""),'Euro 2008 Schedule'!I25,0)</f>
        <v>0</v>
      </c>
      <c r="AR16" s="7">
        <f>IF(AND('Euro 2008 Schedule'!I25&lt;&gt;"",'Euro 2008 Schedule'!K25&lt;&gt;""),IF('Euro 2008 Schedule'!I25&lt;'Euro 2008 Schedule'!K25,'Euro 2008 Schedule'!M25,""),"")</f>
      </c>
      <c r="AS16" s="7">
        <f>IF(AND('Euro 2008 Schedule'!I25&lt;&gt;"",'Euro 2008 Schedule'!K25&lt;&gt;""),IF('Euro 2008 Schedule'!I25='Euro 2008 Schedule'!K25,'Euro 2008 Schedule'!M25,""),"")</f>
      </c>
      <c r="AT16" s="7">
        <f>IF(AND('Euro 2008 Schedule'!I25&lt;&gt;"",'Euro 2008 Schedule'!K25&lt;&gt;""),IF('Euro 2008 Schedule'!I25&lt;'Euro 2008 Schedule'!K25,'Euro 2008 Schedule'!G25,""),"")</f>
      </c>
      <c r="AU16" s="7">
        <f>IF(AND('Euro 2008 Schedule'!I25&lt;&gt;"",'Euro 2008 Schedule'!K25&lt;&gt;""),'Euro 2008 Schedule'!K25,0)</f>
        <v>0</v>
      </c>
      <c r="AV16" s="7">
        <v>1</v>
      </c>
      <c r="AW16" s="7">
        <f t="shared" si="2"/>
      </c>
      <c r="AX16" s="7">
        <f t="shared" si="3"/>
      </c>
      <c r="AY16" s="7">
        <f t="shared" si="4"/>
      </c>
      <c r="AZ16" s="7">
        <f t="shared" si="5"/>
      </c>
      <c r="BA16" s="7">
        <f t="shared" si="6"/>
      </c>
      <c r="BB16" s="7">
        <f t="shared" si="1"/>
      </c>
      <c r="BC16" s="7">
        <v>14</v>
      </c>
      <c r="BD16" s="7" t="str">
        <f>'Euro 2008 Schedule'!G26</f>
        <v>Netherlands</v>
      </c>
      <c r="BE16" s="7">
        <f>IF(AND('Euro 2008 Schedule'!I26&lt;&gt;"",'Euro 2008 Schedule'!K26&lt;&gt;""),'Euro 2008 Schedule'!I26,"")</f>
      </c>
      <c r="BF16" s="7">
        <f>IF(AND('Euro 2008 Schedule'!K26&lt;&gt;"",'Euro 2008 Schedule'!I26&lt;&gt;""),'Euro 2008 Schedule'!K26,"")</f>
      </c>
      <c r="BG16" s="7" t="str">
        <f>'Euro 2008 Schedule'!M26</f>
        <v>France</v>
      </c>
    </row>
    <row r="17" spans="9:59" ht="12.75">
      <c r="I17" s="70"/>
      <c r="S17" s="70"/>
      <c r="AF17" s="70"/>
      <c r="AM17" s="7">
        <v>14</v>
      </c>
      <c r="AN17" s="7">
        <f>IF(AND('Euro 2008 Schedule'!I26&lt;&gt;"",'Euro 2008 Schedule'!K26&lt;&gt;""),IF('Euro 2008 Schedule'!I26&gt;'Euro 2008 Schedule'!K26,'Euro 2008 Schedule'!G26,""),"")</f>
      </c>
      <c r="AO17" s="7">
        <f>IF(AND('Euro 2008 Schedule'!I26&lt;&gt;"",'Euro 2008 Schedule'!K26&lt;&gt;""),IF('Euro 2008 Schedule'!I26='Euro 2008 Schedule'!K26,'Euro 2008 Schedule'!G26,""),"")</f>
      </c>
      <c r="AP17" s="7">
        <f>IF(AND('Euro 2008 Schedule'!I26&lt;&gt;"",'Euro 2008 Schedule'!K26&lt;&gt;""),IF('Euro 2008 Schedule'!I26&gt;'Euro 2008 Schedule'!K26,'Euro 2008 Schedule'!M26,""),"")</f>
      </c>
      <c r="AQ17" s="7">
        <f>IF(AND('Euro 2008 Schedule'!I26&lt;&gt;"",'Euro 2008 Schedule'!K26&lt;&gt;""),'Euro 2008 Schedule'!I26,0)</f>
        <v>0</v>
      </c>
      <c r="AR17" s="7">
        <f>IF(AND('Euro 2008 Schedule'!I26&lt;&gt;"",'Euro 2008 Schedule'!K26&lt;&gt;""),IF('Euro 2008 Schedule'!I26&lt;'Euro 2008 Schedule'!K26,'Euro 2008 Schedule'!M26,""),"")</f>
      </c>
      <c r="AS17" s="7">
        <f>IF(AND('Euro 2008 Schedule'!I26&lt;&gt;"",'Euro 2008 Schedule'!K26&lt;&gt;""),IF('Euro 2008 Schedule'!I26='Euro 2008 Schedule'!K26,'Euro 2008 Schedule'!M26,""),"")</f>
      </c>
      <c r="AT17" s="7">
        <f>IF(AND('Euro 2008 Schedule'!I26&lt;&gt;"",'Euro 2008 Schedule'!K26&lt;&gt;""),IF('Euro 2008 Schedule'!I26&lt;'Euro 2008 Schedule'!K26,'Euro 2008 Schedule'!G26,""),"")</f>
      </c>
      <c r="AU17" s="7">
        <f>IF(AND('Euro 2008 Schedule'!I26&lt;&gt;"",'Euro 2008 Schedule'!K26&lt;&gt;""),'Euro 2008 Schedule'!K26,0)</f>
        <v>0</v>
      </c>
      <c r="AV17" s="7">
        <v>1</v>
      </c>
      <c r="AW17" s="7">
        <f t="shared" si="2"/>
      </c>
      <c r="AX17" s="7">
        <f t="shared" si="3"/>
      </c>
      <c r="AY17" s="7">
        <f t="shared" si="4"/>
      </c>
      <c r="AZ17" s="7">
        <f t="shared" si="5"/>
      </c>
      <c r="BA17" s="7">
        <f t="shared" si="6"/>
      </c>
      <c r="BB17" s="7">
        <f t="shared" si="1"/>
      </c>
      <c r="BC17" s="7">
        <v>15</v>
      </c>
      <c r="BD17" s="7" t="str">
        <f>'Euro 2008 Schedule'!G27</f>
        <v>Sweden</v>
      </c>
      <c r="BE17" s="7">
        <f>IF(AND('Euro 2008 Schedule'!I27&lt;&gt;"",'Euro 2008 Schedule'!K27&lt;&gt;""),'Euro 2008 Schedule'!I27,"")</f>
      </c>
      <c r="BF17" s="7">
        <f>IF(AND('Euro 2008 Schedule'!K27&lt;&gt;"",'Euro 2008 Schedule'!I27&lt;&gt;""),'Euro 2008 Schedule'!K27,"")</f>
      </c>
      <c r="BG17" s="7" t="str">
        <f>'Euro 2008 Schedule'!M27</f>
        <v>Spain</v>
      </c>
    </row>
    <row r="18" spans="1:59" ht="12.75">
      <c r="A18" s="7">
        <f>K18+L18+M18+N18</f>
        <v>1</v>
      </c>
      <c r="B18" s="7" t="str">
        <f>'Euro 2008 Schedule'!G18</f>
        <v>Netherlands</v>
      </c>
      <c r="C18" s="7">
        <f>SUMIF(AN$4:AN$27,B18,AV$4:AV$27)+SUMIF(AR$4:AR$27,B18,AV$4:AV$27)</f>
        <v>0</v>
      </c>
      <c r="D18" s="7">
        <f>SUMIF(AO$4:AO$27,B18,AV$4:AV$27)+SUMIF(AS$4:AS$27,B18,AV$4:AV$27)</f>
        <v>0</v>
      </c>
      <c r="E18" s="7">
        <f>SUMIF(AP$4:AP$27,B18,AV$4:AV$27)+SUMIF(AT$4:AT$27,B18,AV$4:AV$27)</f>
        <v>0</v>
      </c>
      <c r="F18" s="7">
        <f>SUMIF($BD$3:$BD$26,B18,$BE$3:$BE$26)+SUMIF($BG$3:$BG$26,B18,$BF$3:$BF$26)</f>
        <v>0</v>
      </c>
      <c r="G18" s="7">
        <f>SUMIF($BG$3:$BG$26,B18,$BE$3:$BE$26)+SUMIF($BD$3:$BD$26,B18,$BF$3:$BF$26)</f>
        <v>0</v>
      </c>
      <c r="H18" s="7">
        <f>F18-G18+100</f>
        <v>100</v>
      </c>
      <c r="I18" s="70">
        <f>C18*3+D18</f>
        <v>0</v>
      </c>
      <c r="J18" s="7">
        <v>2417</v>
      </c>
      <c r="K18" s="7">
        <f>RANK(I18,I$18:I$21)</f>
        <v>1</v>
      </c>
      <c r="L18" s="7">
        <f>SUMPRODUCT((I$18:I$21=I18)*(H$18:H$21&gt;H18))</f>
        <v>0</v>
      </c>
      <c r="M18" s="7">
        <f>SUMPRODUCT((I$18:I$21=I18)*(H$18:H$21=H18)*(F$18:F$21&gt;F18))</f>
        <v>0</v>
      </c>
      <c r="N18" s="7">
        <f>SUMPRODUCT((I$18:I$21=I18)*(H$18:H$21=H18)*(F$18:F$21=F18)*(J$18:J$21&gt;J18))</f>
        <v>0</v>
      </c>
      <c r="O18" s="7">
        <f>X18</f>
        <v>1</v>
      </c>
      <c r="P18" s="7" t="str">
        <f>VLOOKUP(1,A$18:B$21,2,FALSE)</f>
        <v>Netherlands</v>
      </c>
      <c r="Q18" s="7">
        <f>SUMIF(B$4:B$28,P18,F$4:F$28)</f>
        <v>0</v>
      </c>
      <c r="R18" s="7">
        <f>SUMIF(B$4:B$28,P18,H$4:H$28)</f>
        <v>100</v>
      </c>
      <c r="S18" s="70">
        <f>SUMIF(B$4:B$28,P18,I$4:I$28)</f>
        <v>0</v>
      </c>
      <c r="T18" s="7">
        <f aca="true" t="shared" si="8" ref="T18:V21">SUMIF($B$4:$B$28,$P18,K$4:K$28)</f>
        <v>1</v>
      </c>
      <c r="U18" s="7">
        <f t="shared" si="8"/>
        <v>0</v>
      </c>
      <c r="V18" s="7">
        <f t="shared" si="8"/>
        <v>0</v>
      </c>
      <c r="W18" s="7">
        <f>SUMIF($B$4:$B$28,$P18,J$4:J$28)</f>
        <v>2417</v>
      </c>
      <c r="X18" s="7">
        <f>IF(Y18=0,T18,T18+AG18+AH18+AI18+AJ18+AK18+AL18)</f>
        <v>1</v>
      </c>
      <c r="Y18" s="7" t="str">
        <f>IF(COUNTIF(S$18:S$21,S18)=1,0,P18)</f>
        <v>Netherlands</v>
      </c>
      <c r="Z18" s="7">
        <f>SUMIF($AW$4:$AW$27,Y18,$AV$4:$AV$27)+SUMIF($AZ$4:$AZ$27,Y18,$AV$4:$AV$27)</f>
        <v>0</v>
      </c>
      <c r="AA18" s="7">
        <f>SUMIF($AX$4:$AX$27,$Y18,$AV$4:$AV$27)+SUMIF($BA$4:$BA$27,$Y18,$AV$4:$AV$27)</f>
        <v>0</v>
      </c>
      <c r="AB18" s="7">
        <f>SUMIF($AY$4:$AY$27,$Y18,$AV$4:$AV$27)+SUMIF($BB$4:$BB$27,$Y18,$AV$4:$AV$27)</f>
        <v>0</v>
      </c>
      <c r="AC18" s="7">
        <f>SUMIF(AW$4:AW$27,Y18,AQ$4:AQ$27)+SUMIF(AZ$4:AZ$27,Y18,AU$4:AU$27)+SUMIF(AX$4:AX$27,Y18,AQ$4:AQ$27)+SUMIF(BA$4:BA$27,Y18,AU$4:AU$27)</f>
        <v>0</v>
      </c>
      <c r="AD18" s="7">
        <f>SUMIF(AY$4:AY$27,Y18,AQ$4:AQ$27)+SUMIF(BB$4:BB$27,Y18,AU$4:AU$27)+SUMIF(AX$4:AX$27,Y18,AQ$4:AQ$27)+SUMIF(BA$4:BA$27,Y18,AU$4:AU$27)</f>
        <v>0</v>
      </c>
      <c r="AE18" s="7">
        <f>AC18-AD18+100</f>
        <v>100</v>
      </c>
      <c r="AF18" s="70">
        <f>IF(Y18&lt;&gt;0,Z18*3+AA18,"")</f>
        <v>0</v>
      </c>
      <c r="AG18" s="7">
        <f>IF(Y18&lt;&gt;0,RANK(AF18,AF$18:AF$21)-1,5)</f>
        <v>0</v>
      </c>
      <c r="AH18" s="7">
        <f>IF(Y18&lt;&gt;0,SUMPRODUCT((AF$18:AF$21=AF18)*(AE$18:AE$21&gt;AE18)),5)</f>
        <v>0</v>
      </c>
      <c r="AI18" s="7">
        <f>IF(Y18&lt;&gt;0,SUMPRODUCT((AF$18:AF$21=AF18)*(AE$18:AE$21=AE18)*(AC$18:AC$21&gt;AC18)),5)</f>
        <v>0</v>
      </c>
      <c r="AJ18" s="7">
        <f>IF(Y18&lt;&gt;0,SUMPRODUCT(($AF$18:$AF$21=AF18)*($AE$18:$AE$21=AE18)*($AC$18:$AC$21=AC18)*($R$18:$R$21&gt;R18)),5)</f>
        <v>0</v>
      </c>
      <c r="AK18" s="7">
        <f>IF(Y18&lt;&gt;0,SUMPRODUCT(($AF$18:$AF$21=AF18)*($AE$18:$AE$21=AE18)*($AC$18:$AC$21=AC18)*($R$18:$R$21=R18)*($Q$18:$Q$21&gt;Q18)),5)</f>
        <v>0</v>
      </c>
      <c r="AL18" s="7">
        <f>IF($Y18&lt;&gt;0,SUMPRODUCT(($AF$18:$AF$21=$AF18)*($AE$18:$AE$21=$AE18)*($AC$18:$AC$21=$AC18)*($R$18:$R$21=$R18)*($Q$18:$Q$21=$Q18)*($W$18:$W$21&gt;$W18)),5)</f>
        <v>0</v>
      </c>
      <c r="AM18" s="7">
        <v>15</v>
      </c>
      <c r="AN18" s="7">
        <f>IF(AND('Euro 2008 Schedule'!I27&lt;&gt;"",'Euro 2008 Schedule'!K27&lt;&gt;""),IF('Euro 2008 Schedule'!I27&gt;'Euro 2008 Schedule'!K27,'Euro 2008 Schedule'!G27,""),"")</f>
      </c>
      <c r="AO18" s="7">
        <f>IF(AND('Euro 2008 Schedule'!I27&lt;&gt;"",'Euro 2008 Schedule'!K27&lt;&gt;""),IF('Euro 2008 Schedule'!I27='Euro 2008 Schedule'!K27,'Euro 2008 Schedule'!G27,""),"")</f>
      </c>
      <c r="AP18" s="7">
        <f>IF(AND('Euro 2008 Schedule'!I27&lt;&gt;"",'Euro 2008 Schedule'!K27&lt;&gt;""),IF('Euro 2008 Schedule'!I27&gt;'Euro 2008 Schedule'!K27,'Euro 2008 Schedule'!M27,""),"")</f>
      </c>
      <c r="AQ18" s="7">
        <f>IF(AND('Euro 2008 Schedule'!I27&lt;&gt;"",'Euro 2008 Schedule'!K27&lt;&gt;""),'Euro 2008 Schedule'!I27,0)</f>
        <v>0</v>
      </c>
      <c r="AR18" s="7">
        <f>IF(AND('Euro 2008 Schedule'!I27&lt;&gt;"",'Euro 2008 Schedule'!K27&lt;&gt;""),IF('Euro 2008 Schedule'!I27&lt;'Euro 2008 Schedule'!K27,'Euro 2008 Schedule'!M27,""),"")</f>
      </c>
      <c r="AS18" s="7">
        <f>IF(AND('Euro 2008 Schedule'!I27&lt;&gt;"",'Euro 2008 Schedule'!K27&lt;&gt;""),IF('Euro 2008 Schedule'!I27='Euro 2008 Schedule'!K27,'Euro 2008 Schedule'!M27,""),"")</f>
      </c>
      <c r="AT18" s="7">
        <f>IF(AND('Euro 2008 Schedule'!I27&lt;&gt;"",'Euro 2008 Schedule'!K27&lt;&gt;""),IF('Euro 2008 Schedule'!I27&lt;'Euro 2008 Schedule'!K27,'Euro 2008 Schedule'!G27,""),"")</f>
      </c>
      <c r="AU18" s="7">
        <f>IF(AND('Euro 2008 Schedule'!I27&lt;&gt;"",'Euro 2008 Schedule'!K27&lt;&gt;""),'Euro 2008 Schedule'!K27,0)</f>
        <v>0</v>
      </c>
      <c r="AV18" s="7">
        <v>1</v>
      </c>
      <c r="AW18" s="7">
        <f t="shared" si="2"/>
      </c>
      <c r="AX18" s="7">
        <f t="shared" si="3"/>
      </c>
      <c r="AY18" s="7">
        <f t="shared" si="4"/>
      </c>
      <c r="AZ18" s="7">
        <f t="shared" si="5"/>
      </c>
      <c r="BA18" s="7">
        <f t="shared" si="6"/>
      </c>
      <c r="BB18" s="7">
        <f t="shared" si="1"/>
      </c>
      <c r="BC18" s="7">
        <v>16</v>
      </c>
      <c r="BD18" s="7" t="str">
        <f>'Euro 2008 Schedule'!G28</f>
        <v>Greece</v>
      </c>
      <c r="BE18" s="7">
        <f>IF(AND('Euro 2008 Schedule'!I28&lt;&gt;"",'Euro 2008 Schedule'!K28&lt;&gt;""),'Euro 2008 Schedule'!I28,"")</f>
      </c>
      <c r="BF18" s="7">
        <f>IF(AND('Euro 2008 Schedule'!K28&lt;&gt;"",'Euro 2008 Schedule'!I28&lt;&gt;""),'Euro 2008 Schedule'!K28,"")</f>
      </c>
      <c r="BG18" s="7" t="str">
        <f>'Euro 2008 Schedule'!M28</f>
        <v>Russia</v>
      </c>
    </row>
    <row r="19" spans="1:59" ht="12.75">
      <c r="A19" s="7">
        <f>K19+L19+M19+N19</f>
        <v>2</v>
      </c>
      <c r="B19" s="7" t="str">
        <f>'Euro 2008 Schedule'!M18</f>
        <v>Italy</v>
      </c>
      <c r="C19" s="7">
        <f>SUMIF(AN$4:AN$27,B19,AV$4:AV$27)+SUMIF(AR$4:AR$27,B19,AV$4:AV$27)</f>
        <v>0</v>
      </c>
      <c r="D19" s="7">
        <f>SUMIF(AO$4:AO$27,B19,AV$4:AV$27)+SUMIF(AS$4:AS$27,B19,AV$4:AV$27)</f>
        <v>0</v>
      </c>
      <c r="E19" s="7">
        <f>SUMIF(AP$4:AP$27,B19,AV$4:AV$27)+SUMIF(AT$4:AT$27,B19,AV$4:AV$27)</f>
        <v>0</v>
      </c>
      <c r="F19" s="7">
        <f>SUMIF($BD$3:$BD$26,B19,$BE$3:$BE$26)+SUMIF($BG$3:$BG$26,B19,$BF$3:$BF$26)</f>
        <v>0</v>
      </c>
      <c r="G19" s="7">
        <f>SUMIF($BG$3:$BG$26,B19,$BE$3:$BE$26)+SUMIF($BD$3:$BD$26,B19,$BF$3:$BF$26)</f>
        <v>0</v>
      </c>
      <c r="H19" s="7">
        <f>F19-G19+100</f>
        <v>100</v>
      </c>
      <c r="I19" s="70">
        <f>C19*3+D19</f>
        <v>0</v>
      </c>
      <c r="J19" s="7">
        <v>2364</v>
      </c>
      <c r="K19" s="7">
        <f>RANK(I19,I$18:I$21)</f>
        <v>1</v>
      </c>
      <c r="L19" s="7">
        <f>SUMPRODUCT((I$18:I$21=I19)*(H$18:H$21&gt;H19))</f>
        <v>0</v>
      </c>
      <c r="M19" s="7">
        <f>SUMPRODUCT((I$18:I$21=I19)*(H$18:H$21=H19)*(F$18:F$21&gt;F19))</f>
        <v>0</v>
      </c>
      <c r="N19" s="7">
        <f>SUMPRODUCT((I$18:I$21=I19)*(H$18:H$21=H19)*(F$18:F$21=F19)*(J$18:J$21&gt;J19))</f>
        <v>1</v>
      </c>
      <c r="O19" s="7">
        <f>X19</f>
        <v>2</v>
      </c>
      <c r="P19" s="7" t="str">
        <f>VLOOKUP(2,A$18:B$21,2,FALSE)</f>
        <v>Italy</v>
      </c>
      <c r="Q19" s="7">
        <f>SUMIF(B$4:B$28,P19,F$4:F$28)</f>
        <v>0</v>
      </c>
      <c r="R19" s="7">
        <f>SUMIF(B$4:B$28,P19,H$4:H$28)</f>
        <v>100</v>
      </c>
      <c r="S19" s="70">
        <f>SUMIF(B$4:B$28,P19,I$4:I$28)</f>
        <v>0</v>
      </c>
      <c r="T19" s="7">
        <f t="shared" si="8"/>
        <v>1</v>
      </c>
      <c r="U19" s="7">
        <f t="shared" si="8"/>
        <v>0</v>
      </c>
      <c r="V19" s="7">
        <f t="shared" si="8"/>
        <v>0</v>
      </c>
      <c r="W19" s="7">
        <f>SUMIF($B$4:$B$28,$P19,J$4:J$28)</f>
        <v>2364</v>
      </c>
      <c r="X19" s="7">
        <f>IF(Y19=0,T19,T19+AG19+AH19+AI19+AJ19+AK19+AL19)</f>
        <v>2</v>
      </c>
      <c r="Y19" s="7" t="str">
        <f>IF(COUNTIF(S$18:S$21,S19)=1,0,P19)</f>
        <v>Italy</v>
      </c>
      <c r="Z19" s="7">
        <f>SUMIF($AW$4:$AW$27,Y19,$AV$4:$AV$27)+SUMIF($AZ$4:$AZ$27,Y19,$AV$4:$AV$27)</f>
        <v>0</v>
      </c>
      <c r="AA19" s="7">
        <f>SUMIF($AX$4:$AX$27,$Y19,$AV$4:$AV$27)+SUMIF($BA$4:$BA$27,$Y19,$AV$4:$AV$27)</f>
        <v>0</v>
      </c>
      <c r="AB19" s="7">
        <f>SUMIF($AY$4:$AY$27,$Y19,$AV$4:$AV$27)+SUMIF($BB$4:$BB$27,$Y19,$AV$4:$AV$27)</f>
        <v>0</v>
      </c>
      <c r="AC19" s="7">
        <f>SUMIF(AW$4:AW$27,Y19,AQ$4:AQ$27)+SUMIF(AZ$4:AZ$27,Y19,AU$4:AU$27)+SUMIF(AX$4:AX$27,Y19,AQ$4:AQ$27)+SUMIF(BA$4:BA$27,Y19,AU$4:AU$27)</f>
        <v>0</v>
      </c>
      <c r="AD19" s="7">
        <f>SUMIF(AY$4:AY$27,Y19,AQ$4:AQ$27)+SUMIF(BB$4:BB$27,Y19,AU$4:AU$27)+SUMIF(AX$4:AX$27,Y19,AQ$4:AQ$27)+SUMIF(BA$4:BA$27,Y19,AU$4:AU$27)</f>
        <v>0</v>
      </c>
      <c r="AE19" s="7">
        <f>AC19-AD19+100</f>
        <v>100</v>
      </c>
      <c r="AF19" s="70">
        <f>IF(Y19&lt;&gt;0,Z19*3+AA19,"")</f>
        <v>0</v>
      </c>
      <c r="AG19" s="7">
        <f>IF(Y19&lt;&gt;0,RANK(AF19,AF$18:AF$21)-1,5)</f>
        <v>0</v>
      </c>
      <c r="AH19" s="7">
        <f>IF(Y19&lt;&gt;0,SUMPRODUCT((AF$18:AF$21=AF19)*(AE$18:AE$21&gt;AE19)),5)</f>
        <v>0</v>
      </c>
      <c r="AI19" s="7">
        <f>IF(Y19&lt;&gt;0,SUMPRODUCT((AF$18:AF$21=AF19)*(AE$18:AE$21=AE19)*(AC$18:AC$21&gt;AC19)),5)</f>
        <v>0</v>
      </c>
      <c r="AJ19" s="7">
        <f>IF(Y19&lt;&gt;0,SUMPRODUCT(($AF$18:$AF$21=AF19)*($AE$18:$AE$21=AE19)*($AC$18:$AC$21=AC19)*($R$18:$R$21&gt;R19)),5)</f>
        <v>0</v>
      </c>
      <c r="AK19" s="7">
        <f>IF(Y19&lt;&gt;0,SUMPRODUCT(($AF$18:$AF$21=AF19)*($AE$18:$AE$21=AE19)*($AC$18:$AC$21=AC19)*($R$18:$R$21=R19)*($Q$18:$Q$21&gt;Q19)),5)</f>
        <v>0</v>
      </c>
      <c r="AL19" s="7">
        <f>IF($Y19&lt;&gt;0,SUMPRODUCT(($AF$18:$AF$21=$AF19)*($AE$18:$AE$21=$AE19)*($AC$18:$AC$21=$AC19)*($R$18:$R$21=$R19)*($Q$18:$Q$21=$Q19)*($W$18:$W$21&gt;$W19)),5)</f>
        <v>1</v>
      </c>
      <c r="AM19" s="7">
        <v>16</v>
      </c>
      <c r="AN19" s="7">
        <f>IF(AND('Euro 2008 Schedule'!I28&lt;&gt;"",'Euro 2008 Schedule'!K28&lt;&gt;""),IF('Euro 2008 Schedule'!I28&gt;'Euro 2008 Schedule'!K28,'Euro 2008 Schedule'!G28,""),"")</f>
      </c>
      <c r="AO19" s="7">
        <f>IF(AND('Euro 2008 Schedule'!I28&lt;&gt;"",'Euro 2008 Schedule'!K28&lt;&gt;""),IF('Euro 2008 Schedule'!I28='Euro 2008 Schedule'!K28,'Euro 2008 Schedule'!G28,""),"")</f>
      </c>
      <c r="AP19" s="7">
        <f>IF(AND('Euro 2008 Schedule'!I28&lt;&gt;"",'Euro 2008 Schedule'!K28&lt;&gt;""),IF('Euro 2008 Schedule'!I28&gt;'Euro 2008 Schedule'!K28,'Euro 2008 Schedule'!M28,""),"")</f>
      </c>
      <c r="AQ19" s="7">
        <f>IF(AND('Euro 2008 Schedule'!I28&lt;&gt;"",'Euro 2008 Schedule'!K28&lt;&gt;""),'Euro 2008 Schedule'!I28,0)</f>
        <v>0</v>
      </c>
      <c r="AR19" s="7">
        <f>IF(AND('Euro 2008 Schedule'!I28&lt;&gt;"",'Euro 2008 Schedule'!K28&lt;&gt;""),IF('Euro 2008 Schedule'!I28&lt;'Euro 2008 Schedule'!K28,'Euro 2008 Schedule'!M28,""),"")</f>
      </c>
      <c r="AS19" s="7">
        <f>IF(AND('Euro 2008 Schedule'!I28&lt;&gt;"",'Euro 2008 Schedule'!K28&lt;&gt;""),IF('Euro 2008 Schedule'!I28='Euro 2008 Schedule'!K28,'Euro 2008 Schedule'!M28,""),"")</f>
      </c>
      <c r="AT19" s="7">
        <f>IF(AND('Euro 2008 Schedule'!I28&lt;&gt;"",'Euro 2008 Schedule'!K28&lt;&gt;""),IF('Euro 2008 Schedule'!I28&lt;'Euro 2008 Schedule'!K28,'Euro 2008 Schedule'!G28,""),"")</f>
      </c>
      <c r="AU19" s="7">
        <f>IF(AND('Euro 2008 Schedule'!I28&lt;&gt;"",'Euro 2008 Schedule'!K28&lt;&gt;""),'Euro 2008 Schedule'!K28,0)</f>
        <v>0</v>
      </c>
      <c r="AV19" s="7">
        <v>1</v>
      </c>
      <c r="AW19" s="7">
        <f t="shared" si="2"/>
      </c>
      <c r="AX19" s="7">
        <f t="shared" si="3"/>
      </c>
      <c r="AY19" s="7">
        <f t="shared" si="4"/>
      </c>
      <c r="AZ19" s="7">
        <f t="shared" si="5"/>
      </c>
      <c r="BA19" s="7">
        <f t="shared" si="6"/>
      </c>
      <c r="BB19" s="7">
        <f t="shared" si="1"/>
      </c>
      <c r="BC19" s="7">
        <v>17</v>
      </c>
      <c r="BD19" s="7" t="str">
        <f>'Euro 2008 Schedule'!G29</f>
        <v>Switzerland</v>
      </c>
      <c r="BE19" s="7">
        <f>IF(AND('Euro 2008 Schedule'!I29&lt;&gt;"",'Euro 2008 Schedule'!K29&lt;&gt;""),'Euro 2008 Schedule'!I29,"")</f>
      </c>
      <c r="BF19" s="7">
        <f>IF(AND('Euro 2008 Schedule'!K29&lt;&gt;"",'Euro 2008 Schedule'!I29&lt;&gt;""),'Euro 2008 Schedule'!K29,"")</f>
      </c>
      <c r="BG19" s="7" t="str">
        <f>'Euro 2008 Schedule'!M29</f>
        <v>Portugal</v>
      </c>
    </row>
    <row r="20" spans="1:59" ht="12.75">
      <c r="A20" s="7">
        <f>K20+L20+M20+N20</f>
        <v>3</v>
      </c>
      <c r="B20" s="7" t="str">
        <f>'Euro 2008 Schedule'!G17</f>
        <v>Romania</v>
      </c>
      <c r="C20" s="7">
        <f>SUMIF(AN$4:AN$27,B20,AV$4:AV$27)+SUMIF(AR$4:AR$27,B20,AV$4:AV$27)</f>
        <v>0</v>
      </c>
      <c r="D20" s="7">
        <f>SUMIF(AO$4:AO$27,B20,AV$4:AV$27)+SUMIF(AS$4:AS$27,B20,AV$4:AV$27)</f>
        <v>0</v>
      </c>
      <c r="E20" s="7">
        <f>SUMIF(AP$4:AP$27,B20,AV$4:AV$27)+SUMIF(AT$4:AT$27,B20,AV$4:AV$27)</f>
        <v>0</v>
      </c>
      <c r="F20" s="7">
        <f>SUMIF($BD$3:$BD$26,B20,$BE$3:$BE$26)+SUMIF($BG$3:$BG$26,B20,$BF$3:$BF$26)</f>
        <v>0</v>
      </c>
      <c r="G20" s="7">
        <f>SUMIF($BG$3:$BG$26,B20,$BE$3:$BE$26)+SUMIF($BD$3:$BD$26,B20,$BF$3:$BF$26)</f>
        <v>0</v>
      </c>
      <c r="H20" s="7">
        <f>F20-G20+100</f>
        <v>100</v>
      </c>
      <c r="I20" s="70">
        <f>C20*3+D20</f>
        <v>0</v>
      </c>
      <c r="J20" s="7">
        <v>2250</v>
      </c>
      <c r="K20" s="7">
        <f>RANK(I20,I$18:I$21)</f>
        <v>1</v>
      </c>
      <c r="L20" s="7">
        <f>SUMPRODUCT((I$18:I$21=I20)*(H$18:H$21&gt;H20))</f>
        <v>0</v>
      </c>
      <c r="M20" s="7">
        <f>SUMPRODUCT((I$18:I$21=I20)*(H$18:H$21=H20)*(F$18:F$21&gt;F20))</f>
        <v>0</v>
      </c>
      <c r="N20" s="7">
        <f>SUMPRODUCT((I$18:I$21=I20)*(H$18:H$21=H20)*(F$18:F$21=F20)*(J$18:J$21&gt;J20))</f>
        <v>2</v>
      </c>
      <c r="O20" s="7">
        <f>IF(X20=5,3,IF(X20=6,4,X20))</f>
        <v>3</v>
      </c>
      <c r="P20" s="7" t="str">
        <f>VLOOKUP(3,A$18:B$21,2,FALSE)</f>
        <v>Romania</v>
      </c>
      <c r="Q20" s="7">
        <f>SUMIF(B$4:B$28,P20,F$4:F$28)</f>
        <v>0</v>
      </c>
      <c r="R20" s="7">
        <f>SUMIF(B$4:B$28,P20,H$4:H$28)</f>
        <v>100</v>
      </c>
      <c r="S20" s="70">
        <f>SUMIF(B$4:B$28,P20,I$4:I$28)</f>
        <v>0</v>
      </c>
      <c r="T20" s="7">
        <f t="shared" si="8"/>
        <v>1</v>
      </c>
      <c r="U20" s="7">
        <f t="shared" si="8"/>
        <v>0</v>
      </c>
      <c r="V20" s="7">
        <f t="shared" si="8"/>
        <v>0</v>
      </c>
      <c r="W20" s="7">
        <f>SUMIF($B$4:$B$28,$P20,J$4:J$28)</f>
        <v>2250</v>
      </c>
      <c r="X20" s="7">
        <f>IF(Y20=0,T20,T20+AG20+AH20+AI20+AJ20+AK20+AL20)</f>
        <v>3</v>
      </c>
      <c r="Y20" s="7" t="str">
        <f>IF(S20=S19,IF(COUNTIF(S$18:S$21,S20)=1,0,P20),0)</f>
        <v>Romania</v>
      </c>
      <c r="Z20" s="7">
        <f>SUMIF($AW$4:$AW$27,Y20,$AV$4:$AV$27)+SUMIF($AZ$4:$AZ$27,Y20,$AV$4:$AV$27)</f>
        <v>0</v>
      </c>
      <c r="AA20" s="7">
        <f>SUMIF($AX$4:$AX$27,$Y20,$AV$4:$AV$27)+SUMIF($BA$4:$BA$27,$Y20,$AV$4:$AV$27)</f>
        <v>0</v>
      </c>
      <c r="AB20" s="7">
        <f>SUMIF($AY$4:$AY$27,$Y20,$AV$4:$AV$27)+SUMIF($BB$4:$BB$27,$Y20,$AV$4:$AV$27)</f>
        <v>0</v>
      </c>
      <c r="AC20" s="7">
        <f>SUMIF(AW$4:AW$27,Y20,AQ$4:AQ$27)+SUMIF(AZ$4:AZ$27,Y20,AU$4:AU$27)+SUMIF(AX$4:AX$27,Y20,AQ$4:AQ$27)+SUMIF(BA$4:BA$27,Y20,AU$4:AU$27)</f>
        <v>0</v>
      </c>
      <c r="AD20" s="7">
        <f>SUMIF(AY$4:AY$27,Y20,AQ$4:AQ$27)+SUMIF(BB$4:BB$27,Y20,AU$4:AU$27)+SUMIF(AX$4:AX$27,Y20,AQ$4:AQ$27)+SUMIF(BA$4:BA$27,Y20,AU$4:AU$27)</f>
        <v>0</v>
      </c>
      <c r="AE20" s="7">
        <f>AC20-AD20+100</f>
        <v>100</v>
      </c>
      <c r="AF20" s="70">
        <f>IF(Y20&lt;&gt;0,Z20*3+AA20,"")</f>
        <v>0</v>
      </c>
      <c r="AG20" s="7">
        <f>IF(Y20&lt;&gt;0,RANK(AF20,AF$18:AF$21)-1,5)</f>
        <v>0</v>
      </c>
      <c r="AH20" s="7">
        <f>IF(Y20&lt;&gt;0,SUMPRODUCT((AF$18:AF$21=AF20)*(AE$18:AE$21&gt;AE20)),5)</f>
        <v>0</v>
      </c>
      <c r="AI20" s="7">
        <f>IF(Y20&lt;&gt;0,SUMPRODUCT((AF$18:AF$21=AF20)*(AE$18:AE$21=AE20)*(AC$18:AC$21&gt;AC20)),5)</f>
        <v>0</v>
      </c>
      <c r="AJ20" s="7">
        <f>IF(Y20&lt;&gt;0,SUMPRODUCT(($AF$18:$AF$21=AF20)*($AE$18:$AE$21=AE20)*($AC$18:$AC$21=AC20)*($R$18:$R$21&gt;R20)),5)</f>
        <v>0</v>
      </c>
      <c r="AK20" s="7">
        <f>IF(Y20&lt;&gt;0,SUMPRODUCT(($AF$18:$AF$21=AF20)*($AE$18:$AE$21=AE20)*($AC$18:$AC$21=AC20)*($R$18:$R$21=R20)*($Q$18:$Q$21&gt;Q20)),5)</f>
        <v>0</v>
      </c>
      <c r="AL20" s="7">
        <f>IF($Y20&lt;&gt;0,SUMPRODUCT(($AF$18:$AF$21=$AF20)*($AE$18:$AE$21=$AE20)*($AC$18:$AC$21=$AC20)*($R$18:$R$21=$R20)*($Q$18:$Q$21=$Q20)*($W$18:$W$21&gt;$W20)),5)</f>
        <v>2</v>
      </c>
      <c r="AM20" s="7">
        <v>17</v>
      </c>
      <c r="AN20" s="7">
        <f>IF(AND('Euro 2008 Schedule'!I29&lt;&gt;"",'Euro 2008 Schedule'!K29&lt;&gt;""),IF('Euro 2008 Schedule'!I29&gt;'Euro 2008 Schedule'!K29,'Euro 2008 Schedule'!G29,""),"")</f>
      </c>
      <c r="AO20" s="7">
        <f>IF(AND('Euro 2008 Schedule'!I29&lt;&gt;"",'Euro 2008 Schedule'!K29&lt;&gt;""),IF('Euro 2008 Schedule'!I29='Euro 2008 Schedule'!K29,'Euro 2008 Schedule'!G29,""),"")</f>
      </c>
      <c r="AP20" s="7">
        <f>IF(AND('Euro 2008 Schedule'!I29&lt;&gt;"",'Euro 2008 Schedule'!K29&lt;&gt;""),IF('Euro 2008 Schedule'!I29&gt;'Euro 2008 Schedule'!K29,'Euro 2008 Schedule'!M29,""),"")</f>
      </c>
      <c r="AQ20" s="7">
        <f>IF(AND('Euro 2008 Schedule'!I29&lt;&gt;"",'Euro 2008 Schedule'!K29&lt;&gt;""),'Euro 2008 Schedule'!I29,0)</f>
        <v>0</v>
      </c>
      <c r="AR20" s="7">
        <f>IF(AND('Euro 2008 Schedule'!I29&lt;&gt;"",'Euro 2008 Schedule'!K29&lt;&gt;""),IF('Euro 2008 Schedule'!I29&lt;'Euro 2008 Schedule'!K29,'Euro 2008 Schedule'!M29,""),"")</f>
      </c>
      <c r="AS20" s="7">
        <f>IF(AND('Euro 2008 Schedule'!I29&lt;&gt;"",'Euro 2008 Schedule'!K29&lt;&gt;""),IF('Euro 2008 Schedule'!I29='Euro 2008 Schedule'!K29,'Euro 2008 Schedule'!M29,""),"")</f>
      </c>
      <c r="AT20" s="7">
        <f>IF(AND('Euro 2008 Schedule'!I29&lt;&gt;"",'Euro 2008 Schedule'!K29&lt;&gt;""),IF('Euro 2008 Schedule'!I29&lt;'Euro 2008 Schedule'!K29,'Euro 2008 Schedule'!G29,""),"")</f>
      </c>
      <c r="AU20" s="7">
        <f>IF(AND('Euro 2008 Schedule'!I29&lt;&gt;"",'Euro 2008 Schedule'!K29&lt;&gt;""),'Euro 2008 Schedule'!K29,0)</f>
        <v>0</v>
      </c>
      <c r="AV20" s="7">
        <v>1</v>
      </c>
      <c r="AW20" s="7">
        <f t="shared" si="2"/>
      </c>
      <c r="AX20" s="7">
        <f t="shared" si="3"/>
      </c>
      <c r="AY20" s="7">
        <f t="shared" si="4"/>
      </c>
      <c r="AZ20" s="7">
        <f t="shared" si="5"/>
      </c>
      <c r="BA20" s="7">
        <f t="shared" si="6"/>
      </c>
      <c r="BB20" s="7">
        <f t="shared" si="1"/>
      </c>
      <c r="BC20" s="7">
        <v>18</v>
      </c>
      <c r="BD20" s="7" t="str">
        <f>'Euro 2008 Schedule'!G30</f>
        <v>Turkey</v>
      </c>
      <c r="BE20" s="7">
        <f>IF(AND('Euro 2008 Schedule'!I30&lt;&gt;"",'Euro 2008 Schedule'!K30&lt;&gt;""),'Euro 2008 Schedule'!I30,"")</f>
      </c>
      <c r="BF20" s="7">
        <f>IF(AND('Euro 2008 Schedule'!K30&lt;&gt;"",'Euro 2008 Schedule'!I30&lt;&gt;""),'Euro 2008 Schedule'!K30,"")</f>
      </c>
      <c r="BG20" s="7" t="str">
        <f>'Euro 2008 Schedule'!M30</f>
        <v>Czech Republic</v>
      </c>
    </row>
    <row r="21" spans="1:59" ht="12.75">
      <c r="A21" s="7">
        <f>K21+L21+M21+N21</f>
        <v>4</v>
      </c>
      <c r="B21" s="7" t="str">
        <f>'Euro 2008 Schedule'!M17</f>
        <v>France</v>
      </c>
      <c r="C21" s="7">
        <f>SUMIF(AN$4:AN$27,B21,AV$4:AV$27)+SUMIF(AR$4:AR$27,B21,AV$4:AV$27)</f>
        <v>0</v>
      </c>
      <c r="D21" s="7">
        <f>SUMIF(AO$4:AO$27,B21,AV$4:AV$27)+SUMIF(AS$4:AS$27,B21,AV$4:AV$27)</f>
        <v>0</v>
      </c>
      <c r="E21" s="7">
        <f>SUMIF(AP$4:AP$27,B21,AV$4:AV$27)+SUMIF(AT$4:AT$27,B21,AV$4:AV$27)</f>
        <v>0</v>
      </c>
      <c r="F21" s="7">
        <f>SUMIF($BD$3:$BD$26,B21,$BE$3:$BE$26)+SUMIF($BG$3:$BG$26,B21,$BF$3:$BF$26)</f>
        <v>0</v>
      </c>
      <c r="G21" s="7">
        <f>SUMIF($BG$3:$BG$26,B21,$BE$3:$BE$26)+SUMIF($BD$3:$BD$26,B21,$BF$3:$BF$26)</f>
        <v>0</v>
      </c>
      <c r="H21" s="7">
        <f>F21-G21+100</f>
        <v>100</v>
      </c>
      <c r="I21" s="70">
        <f>C21*3+D21</f>
        <v>0</v>
      </c>
      <c r="J21" s="7">
        <v>2091</v>
      </c>
      <c r="K21" s="7">
        <f>RANK(I21,I$18:I$21)</f>
        <v>1</v>
      </c>
      <c r="L21" s="7">
        <f>SUMPRODUCT((I$18:I$21=I21)*(H$18:H$21&gt;H21))</f>
        <v>0</v>
      </c>
      <c r="M21" s="7">
        <f>SUMPRODUCT((I$18:I$21=I21)*(H$18:H$21=H21)*(F$18:F$21&gt;F21))</f>
        <v>0</v>
      </c>
      <c r="N21" s="7">
        <f>SUMPRODUCT((I$18:I$21=I21)*(H$18:H$21=H21)*(F$18:F$21=F21)*(J$18:J$21&gt;J21))</f>
        <v>3</v>
      </c>
      <c r="O21" s="7">
        <f>IF(X21=X20,IF(X21=3,4,X21),IF(X21=5,3,IF(X21=6,4,X21)))</f>
        <v>4</v>
      </c>
      <c r="P21" s="7" t="str">
        <f>VLOOKUP(4,A$18:B$21,2,FALSE)</f>
        <v>France</v>
      </c>
      <c r="Q21" s="7">
        <f>SUMIF(B$4:B$28,P21,F$4:F$28)</f>
        <v>0</v>
      </c>
      <c r="R21" s="7">
        <f>SUMIF(B$4:B$28,P21,H$4:H$28)</f>
        <v>100</v>
      </c>
      <c r="S21" s="70">
        <f>SUMIF(B$4:B$28,P21,I$4:I$28)</f>
        <v>0</v>
      </c>
      <c r="T21" s="7">
        <f t="shared" si="8"/>
        <v>1</v>
      </c>
      <c r="U21" s="7">
        <f t="shared" si="8"/>
        <v>0</v>
      </c>
      <c r="V21" s="7">
        <f t="shared" si="8"/>
        <v>0</v>
      </c>
      <c r="W21" s="7">
        <f>SUMIF($B$4:$B$28,$P21,J$4:J$28)</f>
        <v>2091</v>
      </c>
      <c r="X21" s="7">
        <f>IF(Y21=0,T21,T21+AG21+AH21+AI21+AJ21+AK21+AL21)</f>
        <v>4</v>
      </c>
      <c r="Y21" s="7" t="str">
        <f>IF(Y20=0,0,IF(COUNTIF(S$18:S$21,S21)=1,0,P21))</f>
        <v>France</v>
      </c>
      <c r="Z21" s="7">
        <f>SUMIF($AW$4:$AW$27,Y21,$AV$4:$AV$27)+SUMIF($AZ$4:$AZ$27,Y21,$AV$4:$AV$27)</f>
        <v>0</v>
      </c>
      <c r="AA21" s="7">
        <f>SUMIF($AX$4:$AX$27,$Y21,$AV$4:$AV$27)+SUMIF($BA$4:$BA$27,$Y21,$AV$4:$AV$27)</f>
        <v>0</v>
      </c>
      <c r="AB21" s="7">
        <f>SUMIF($AY$4:$AY$27,$Y21,$AV$4:$AV$27)+SUMIF($BB$4:$BB$27,$Y21,$AV$4:$AV$27)</f>
        <v>0</v>
      </c>
      <c r="AC21" s="7">
        <f>SUMIF(AW$4:AW$27,Y21,AQ$4:AQ$27)+SUMIF(AZ$4:AZ$27,Y21,AU$4:AU$27)+SUMIF(AX$4:AX$27,Y21,AQ$4:AQ$27)+SUMIF(BA$4:BA$27,Y21,AU$4:AU$27)</f>
        <v>0</v>
      </c>
      <c r="AD21" s="7">
        <f>SUMIF(AY$4:AY$27,Y21,AQ$4:AQ$27)+SUMIF(BB$4:BB$27,Y21,AU$4:AU$27)+SUMIF(AX$4:AX$27,Y21,AQ$4:AQ$27)+SUMIF(BA$4:BA$27,Y21,AU$4:AU$27)</f>
        <v>0</v>
      </c>
      <c r="AE21" s="7">
        <f>AC21-AD21+100</f>
        <v>100</v>
      </c>
      <c r="AF21" s="70">
        <f>IF(Y21&lt;&gt;0,Z21*3+AA21,"")</f>
        <v>0</v>
      </c>
      <c r="AG21" s="7">
        <f>IF(Y21&lt;&gt;0,RANK(AF21,AF$18:AF$21)-1,5)</f>
        <v>0</v>
      </c>
      <c r="AH21" s="7">
        <f>IF(Y21&lt;&gt;0,SUMPRODUCT((AF$18:AF$21=AF21)*(AE$18:AE$21&gt;AE21)),5)</f>
        <v>0</v>
      </c>
      <c r="AI21" s="7">
        <f>IF(Y21&lt;&gt;0,SUMPRODUCT((AF$18:AF$21=AF21)*(AE$18:AE$21=AE21)*(AC$18:AC$21&gt;AC21)),5)</f>
        <v>0</v>
      </c>
      <c r="AJ21" s="7">
        <f>IF(Y21&lt;&gt;0,SUMPRODUCT(($AF$18:$AF$21=AF21)*($AE$18:$AE$21=AE21)*($AC$18:$AC$21=AC21)*($R$18:$R$21&gt;R21)),5)</f>
        <v>0</v>
      </c>
      <c r="AK21" s="7">
        <f>IF(Y21&lt;&gt;0,SUMPRODUCT(($AF$18:$AF$21=AF21)*($AE$18:$AE$21=AE21)*($AC$18:$AC$21=AC21)*($R$18:$R$21=R21)*($Q$18:$Q$21&gt;Q21)),5)</f>
        <v>0</v>
      </c>
      <c r="AL21" s="7">
        <f>IF($Y21&lt;&gt;0,SUMPRODUCT(($AF$18:$AF$21=$AF21)*($AE$18:$AE$21=$AE21)*($AC$18:$AC$21=$AC21)*($R$18:$R$21=$R21)*($Q$18:$Q$21=$Q21)*($W$18:$W$21&gt;$W21)),5)</f>
        <v>3</v>
      </c>
      <c r="AM21" s="7">
        <v>18</v>
      </c>
      <c r="AN21" s="7">
        <f>IF(AND('Euro 2008 Schedule'!I30&lt;&gt;"",'Euro 2008 Schedule'!K30&lt;&gt;""),IF('Euro 2008 Schedule'!I30&gt;'Euro 2008 Schedule'!K30,'Euro 2008 Schedule'!G30,""),"")</f>
      </c>
      <c r="AO21" s="7">
        <f>IF(AND('Euro 2008 Schedule'!I30&lt;&gt;"",'Euro 2008 Schedule'!K30&lt;&gt;""),IF('Euro 2008 Schedule'!I30='Euro 2008 Schedule'!K30,'Euro 2008 Schedule'!G30,""),"")</f>
      </c>
      <c r="AP21" s="7">
        <f>IF(AND('Euro 2008 Schedule'!I30&lt;&gt;"",'Euro 2008 Schedule'!K30&lt;&gt;""),IF('Euro 2008 Schedule'!I30&gt;'Euro 2008 Schedule'!K30,'Euro 2008 Schedule'!M30,""),"")</f>
      </c>
      <c r="AQ21" s="7">
        <f>IF(AND('Euro 2008 Schedule'!I30&lt;&gt;"",'Euro 2008 Schedule'!K30&lt;&gt;""),'Euro 2008 Schedule'!I30,0)</f>
        <v>0</v>
      </c>
      <c r="AR21" s="7">
        <f>IF(AND('Euro 2008 Schedule'!I30&lt;&gt;"",'Euro 2008 Schedule'!K30&lt;&gt;""),IF('Euro 2008 Schedule'!I30&lt;'Euro 2008 Schedule'!K30,'Euro 2008 Schedule'!M30,""),"")</f>
      </c>
      <c r="AS21" s="7">
        <f>IF(AND('Euro 2008 Schedule'!I30&lt;&gt;"",'Euro 2008 Schedule'!K30&lt;&gt;""),IF('Euro 2008 Schedule'!I30='Euro 2008 Schedule'!K30,'Euro 2008 Schedule'!M30,""),"")</f>
      </c>
      <c r="AT21" s="7">
        <f>IF(AND('Euro 2008 Schedule'!I30&lt;&gt;"",'Euro 2008 Schedule'!K30&lt;&gt;""),IF('Euro 2008 Schedule'!I30&lt;'Euro 2008 Schedule'!K30,'Euro 2008 Schedule'!G30,""),"")</f>
      </c>
      <c r="AU21" s="7">
        <f>IF(AND('Euro 2008 Schedule'!I30&lt;&gt;"",'Euro 2008 Schedule'!K30&lt;&gt;""),'Euro 2008 Schedule'!K30,0)</f>
        <v>0</v>
      </c>
      <c r="AV21" s="7">
        <v>1</v>
      </c>
      <c r="AW21" s="7">
        <f t="shared" si="2"/>
      </c>
      <c r="AX21" s="7">
        <f t="shared" si="3"/>
      </c>
      <c r="AY21" s="7">
        <f t="shared" si="4"/>
      </c>
      <c r="AZ21" s="7">
        <f t="shared" si="5"/>
      </c>
      <c r="BA21" s="7">
        <f t="shared" si="6"/>
      </c>
      <c r="BB21" s="7">
        <f t="shared" si="1"/>
      </c>
      <c r="BC21" s="7">
        <v>19</v>
      </c>
      <c r="BD21" s="7" t="str">
        <f>'Euro 2008 Schedule'!G31</f>
        <v>Poland</v>
      </c>
      <c r="BE21" s="7">
        <f>IF(AND('Euro 2008 Schedule'!I31&lt;&gt;"",'Euro 2008 Schedule'!K31&lt;&gt;""),'Euro 2008 Schedule'!I31,"")</f>
      </c>
      <c r="BF21" s="7">
        <f>IF(AND('Euro 2008 Schedule'!K31&lt;&gt;"",'Euro 2008 Schedule'!I31&lt;&gt;""),'Euro 2008 Schedule'!K31,"")</f>
      </c>
      <c r="BG21" s="7" t="str">
        <f>'Euro 2008 Schedule'!M31</f>
        <v>Croatia</v>
      </c>
    </row>
    <row r="22" spans="9:59" ht="12.75">
      <c r="I22" s="70"/>
      <c r="S22" s="70"/>
      <c r="AF22" s="70"/>
      <c r="AM22" s="7">
        <v>19</v>
      </c>
      <c r="AN22" s="7">
        <f>IF(AND('Euro 2008 Schedule'!I31&lt;&gt;"",'Euro 2008 Schedule'!K31&lt;&gt;""),IF('Euro 2008 Schedule'!I31&gt;'Euro 2008 Schedule'!K31,'Euro 2008 Schedule'!G31,""),"")</f>
      </c>
      <c r="AO22" s="7">
        <f>IF(AND('Euro 2008 Schedule'!I31&lt;&gt;"",'Euro 2008 Schedule'!K31&lt;&gt;""),IF('Euro 2008 Schedule'!I31='Euro 2008 Schedule'!K31,'Euro 2008 Schedule'!G31,""),"")</f>
      </c>
      <c r="AP22" s="7">
        <f>IF(AND('Euro 2008 Schedule'!I31&lt;&gt;"",'Euro 2008 Schedule'!K31&lt;&gt;""),IF('Euro 2008 Schedule'!I31&gt;'Euro 2008 Schedule'!K31,'Euro 2008 Schedule'!M31,""),"")</f>
      </c>
      <c r="AQ22" s="7">
        <f>IF(AND('Euro 2008 Schedule'!I31&lt;&gt;"",'Euro 2008 Schedule'!K31&lt;&gt;""),'Euro 2008 Schedule'!I31,0)</f>
        <v>0</v>
      </c>
      <c r="AR22" s="7">
        <f>IF(AND('Euro 2008 Schedule'!I31&lt;&gt;"",'Euro 2008 Schedule'!K31&lt;&gt;""),IF('Euro 2008 Schedule'!I31&lt;'Euro 2008 Schedule'!K31,'Euro 2008 Schedule'!M31,""),"")</f>
      </c>
      <c r="AS22" s="7">
        <f>IF(AND('Euro 2008 Schedule'!I31&lt;&gt;"",'Euro 2008 Schedule'!K31&lt;&gt;""),IF('Euro 2008 Schedule'!I31='Euro 2008 Schedule'!K31,'Euro 2008 Schedule'!M31,""),"")</f>
      </c>
      <c r="AT22" s="7">
        <f>IF(AND('Euro 2008 Schedule'!I31&lt;&gt;"",'Euro 2008 Schedule'!K31&lt;&gt;""),IF('Euro 2008 Schedule'!I31&lt;'Euro 2008 Schedule'!K31,'Euro 2008 Schedule'!G31,""),"")</f>
      </c>
      <c r="AU22" s="7">
        <f>IF(AND('Euro 2008 Schedule'!I31&lt;&gt;"",'Euro 2008 Schedule'!K31&lt;&gt;""),'Euro 2008 Schedule'!K31,0)</f>
        <v>0</v>
      </c>
      <c r="AV22" s="7">
        <v>1</v>
      </c>
      <c r="AW22" s="7">
        <f t="shared" si="2"/>
      </c>
      <c r="AX22" s="7">
        <f t="shared" si="3"/>
      </c>
      <c r="AY22" s="7">
        <f t="shared" si="4"/>
      </c>
      <c r="AZ22" s="7">
        <f t="shared" si="5"/>
      </c>
      <c r="BA22" s="7">
        <f t="shared" si="6"/>
      </c>
      <c r="BB22" s="7">
        <f t="shared" si="1"/>
      </c>
      <c r="BC22" s="7">
        <v>20</v>
      </c>
      <c r="BD22" s="7" t="str">
        <f>'Euro 2008 Schedule'!G32</f>
        <v>Austria</v>
      </c>
      <c r="BE22" s="7">
        <f>IF(AND('Euro 2008 Schedule'!I32&lt;&gt;"",'Euro 2008 Schedule'!K32&lt;&gt;""),'Euro 2008 Schedule'!I32,"")</f>
      </c>
      <c r="BF22" s="7">
        <f>IF(AND('Euro 2008 Schedule'!K32&lt;&gt;"",'Euro 2008 Schedule'!I32&lt;&gt;""),'Euro 2008 Schedule'!K32,"")</f>
      </c>
      <c r="BG22" s="7" t="str">
        <f>'Euro 2008 Schedule'!M32</f>
        <v>Germany</v>
      </c>
    </row>
    <row r="23" spans="2:59" ht="12.75">
      <c r="B23" s="7" t="s">
        <v>28</v>
      </c>
      <c r="C23" s="7" t="s">
        <v>22</v>
      </c>
      <c r="D23" s="7" t="s">
        <v>23</v>
      </c>
      <c r="E23" s="7" t="s">
        <v>24</v>
      </c>
      <c r="F23" s="7" t="s">
        <v>29</v>
      </c>
      <c r="G23" s="7" t="s">
        <v>30</v>
      </c>
      <c r="H23" s="7" t="s">
        <v>574</v>
      </c>
      <c r="I23" s="70" t="s">
        <v>425</v>
      </c>
      <c r="S23" s="70"/>
      <c r="AF23" s="70"/>
      <c r="AM23" s="7">
        <v>20</v>
      </c>
      <c r="AN23" s="7">
        <f>IF(AND('Euro 2008 Schedule'!I32&lt;&gt;"",'Euro 2008 Schedule'!K32&lt;&gt;""),IF('Euro 2008 Schedule'!I32&gt;'Euro 2008 Schedule'!K32,'Euro 2008 Schedule'!G32,""),"")</f>
      </c>
      <c r="AO23" s="7">
        <f>IF(AND('Euro 2008 Schedule'!I32&lt;&gt;"",'Euro 2008 Schedule'!K32&lt;&gt;""),IF('Euro 2008 Schedule'!I32='Euro 2008 Schedule'!K32,'Euro 2008 Schedule'!G32,""),"")</f>
      </c>
      <c r="AP23" s="7">
        <f>IF(AND('Euro 2008 Schedule'!I32&lt;&gt;"",'Euro 2008 Schedule'!K32&lt;&gt;""),IF('Euro 2008 Schedule'!I32&gt;'Euro 2008 Schedule'!K32,'Euro 2008 Schedule'!M32,""),"")</f>
      </c>
      <c r="AQ23" s="7">
        <f>IF(AND('Euro 2008 Schedule'!I32&lt;&gt;"",'Euro 2008 Schedule'!K32&lt;&gt;""),'Euro 2008 Schedule'!I32,0)</f>
        <v>0</v>
      </c>
      <c r="AR23" s="7">
        <f>IF(AND('Euro 2008 Schedule'!I32&lt;&gt;"",'Euro 2008 Schedule'!K32&lt;&gt;""),IF('Euro 2008 Schedule'!I32&lt;'Euro 2008 Schedule'!K32,'Euro 2008 Schedule'!M32,""),"")</f>
      </c>
      <c r="AS23" s="7">
        <f>IF(AND('Euro 2008 Schedule'!I32&lt;&gt;"",'Euro 2008 Schedule'!K32&lt;&gt;""),IF('Euro 2008 Schedule'!I32='Euro 2008 Schedule'!K32,'Euro 2008 Schedule'!M32,""),"")</f>
      </c>
      <c r="AT23" s="7">
        <f>IF(AND('Euro 2008 Schedule'!I32&lt;&gt;"",'Euro 2008 Schedule'!K32&lt;&gt;""),IF('Euro 2008 Schedule'!I32&lt;'Euro 2008 Schedule'!K32,'Euro 2008 Schedule'!G32,""),"")</f>
      </c>
      <c r="AU23" s="7">
        <f>IF(AND('Euro 2008 Schedule'!I32&lt;&gt;"",'Euro 2008 Schedule'!K32&lt;&gt;""),'Euro 2008 Schedule'!K32,0)</f>
        <v>0</v>
      </c>
      <c r="AV23" s="7">
        <v>1</v>
      </c>
      <c r="AW23" s="7">
        <f t="shared" si="2"/>
      </c>
      <c r="AX23" s="7">
        <f t="shared" si="3"/>
      </c>
      <c r="AY23" s="7">
        <f t="shared" si="4"/>
      </c>
      <c r="AZ23" s="7">
        <f t="shared" si="5"/>
      </c>
      <c r="BA23" s="7">
        <f t="shared" si="6"/>
      </c>
      <c r="BB23" s="7">
        <f t="shared" si="1"/>
      </c>
      <c r="BC23" s="7">
        <v>21</v>
      </c>
      <c r="BD23" s="7" t="str">
        <f>'Euro 2008 Schedule'!G33</f>
        <v>Netherlands</v>
      </c>
      <c r="BE23" s="7">
        <f>IF(AND('Euro 2008 Schedule'!I33&lt;&gt;"",'Euro 2008 Schedule'!K33&lt;&gt;""),'Euro 2008 Schedule'!I33,"")</f>
      </c>
      <c r="BF23" s="7">
        <f>IF(AND('Euro 2008 Schedule'!K33&lt;&gt;"",'Euro 2008 Schedule'!I33&lt;&gt;""),'Euro 2008 Schedule'!K33,"")</f>
      </c>
      <c r="BG23" s="7" t="str">
        <f>'Euro 2008 Schedule'!M33</f>
        <v>Romania</v>
      </c>
    </row>
    <row r="24" spans="9:59" ht="12.75">
      <c r="I24" s="70"/>
      <c r="S24" s="70"/>
      <c r="AF24" s="70"/>
      <c r="AM24" s="7">
        <v>21</v>
      </c>
      <c r="AN24" s="7">
        <f>IF(AND('Euro 2008 Schedule'!I33&lt;&gt;"",'Euro 2008 Schedule'!K33&lt;&gt;""),IF('Euro 2008 Schedule'!I33&gt;'Euro 2008 Schedule'!K33,'Euro 2008 Schedule'!G33,""),"")</f>
      </c>
      <c r="AO24" s="7">
        <f>IF(AND('Euro 2008 Schedule'!I33&lt;&gt;"",'Euro 2008 Schedule'!K33&lt;&gt;""),IF('Euro 2008 Schedule'!I33='Euro 2008 Schedule'!K33,'Euro 2008 Schedule'!G33,""),"")</f>
      </c>
      <c r="AP24" s="7">
        <f>IF(AND('Euro 2008 Schedule'!I33&lt;&gt;"",'Euro 2008 Schedule'!K33&lt;&gt;""),IF('Euro 2008 Schedule'!I33&gt;'Euro 2008 Schedule'!K33,'Euro 2008 Schedule'!M33,""),"")</f>
      </c>
      <c r="AQ24" s="7">
        <f>IF(AND('Euro 2008 Schedule'!I33&lt;&gt;"",'Euro 2008 Schedule'!K33&lt;&gt;""),'Euro 2008 Schedule'!I33,0)</f>
        <v>0</v>
      </c>
      <c r="AR24" s="7">
        <f>IF(AND('Euro 2008 Schedule'!I33&lt;&gt;"",'Euro 2008 Schedule'!K33&lt;&gt;""),IF('Euro 2008 Schedule'!I33&lt;'Euro 2008 Schedule'!K33,'Euro 2008 Schedule'!M33,""),"")</f>
      </c>
      <c r="AS24" s="7">
        <f>IF(AND('Euro 2008 Schedule'!I33&lt;&gt;"",'Euro 2008 Schedule'!K33&lt;&gt;""),IF('Euro 2008 Schedule'!I33='Euro 2008 Schedule'!K33,'Euro 2008 Schedule'!M33,""),"")</f>
      </c>
      <c r="AT24" s="7">
        <f>IF(AND('Euro 2008 Schedule'!I33&lt;&gt;"",'Euro 2008 Schedule'!K33&lt;&gt;""),IF('Euro 2008 Schedule'!I33&lt;'Euro 2008 Schedule'!K33,'Euro 2008 Schedule'!G33,""),"")</f>
      </c>
      <c r="AU24" s="7">
        <f>IF(AND('Euro 2008 Schedule'!I33&lt;&gt;"",'Euro 2008 Schedule'!K33&lt;&gt;""),'Euro 2008 Schedule'!K33,0)</f>
        <v>0</v>
      </c>
      <c r="AV24" s="7">
        <v>1</v>
      </c>
      <c r="AW24" s="7">
        <f t="shared" si="2"/>
      </c>
      <c r="AX24" s="7">
        <f t="shared" si="3"/>
      </c>
      <c r="AY24" s="7">
        <f t="shared" si="4"/>
      </c>
      <c r="AZ24" s="7">
        <f t="shared" si="5"/>
      </c>
      <c r="BA24" s="7">
        <f t="shared" si="6"/>
      </c>
      <c r="BB24" s="7">
        <f t="shared" si="1"/>
      </c>
      <c r="BC24" s="7">
        <v>22</v>
      </c>
      <c r="BD24" s="7" t="str">
        <f>'Euro 2008 Schedule'!G34</f>
        <v>France</v>
      </c>
      <c r="BE24" s="7">
        <f>IF(AND('Euro 2008 Schedule'!I34&lt;&gt;"",'Euro 2008 Schedule'!K34&lt;&gt;""),'Euro 2008 Schedule'!I34,"")</f>
      </c>
      <c r="BF24" s="7">
        <f>IF(AND('Euro 2008 Schedule'!K34&lt;&gt;"",'Euro 2008 Schedule'!I34&lt;&gt;""),'Euro 2008 Schedule'!K34,"")</f>
      </c>
      <c r="BG24" s="7" t="str">
        <f>'Euro 2008 Schedule'!M34</f>
        <v>Italy</v>
      </c>
    </row>
    <row r="25" spans="1:59" ht="12.75">
      <c r="A25" s="7">
        <f>K25+L25+M25+N25</f>
        <v>1</v>
      </c>
      <c r="B25" s="7" t="str">
        <f>'Euro 2008 Schedule'!M20</f>
        <v>Sweden</v>
      </c>
      <c r="C25" s="7">
        <f>SUMIF(AN$4:AN$27,B25,AV$4:AV$27)+SUMIF(AR$4:AR$27,B25,AV$4:AV$27)</f>
        <v>0</v>
      </c>
      <c r="D25" s="7">
        <f>SUMIF(AO$4:AO$27,B25,AV$4:AV$27)+SUMIF(AS$4:AS$27,B25,AV$4:AV$27)</f>
        <v>0</v>
      </c>
      <c r="E25" s="7">
        <f>SUMIF(AP$4:AP$27,B25,AV$4:AV$27)+SUMIF(AT$4:AT$27,B25,AV$4:AV$27)</f>
        <v>0</v>
      </c>
      <c r="F25" s="7">
        <f>SUMIF($BD$3:$BD$26,B25,$BE$3:$BE$26)+SUMIF($BG$3:$BG$26,B25,$BF$3:$BF$26)</f>
        <v>0</v>
      </c>
      <c r="G25" s="7">
        <f>SUMIF($BG$3:$BG$26,B25,$BE$3:$BE$26)+SUMIF($BD$3:$BD$26,B25,$BF$3:$BF$26)</f>
        <v>0</v>
      </c>
      <c r="H25" s="7">
        <f>F25-G25+100</f>
        <v>100</v>
      </c>
      <c r="I25" s="70">
        <f>C25*3+D25</f>
        <v>0</v>
      </c>
      <c r="J25" s="7">
        <v>2273</v>
      </c>
      <c r="K25" s="7">
        <f>RANK(I25,I$25:I$28)</f>
        <v>1</v>
      </c>
      <c r="L25" s="7">
        <f>SUMPRODUCT((I$25:I$28=I25)*(H$25:H$28&gt;H25))</f>
        <v>0</v>
      </c>
      <c r="M25" s="7">
        <f>SUMPRODUCT((I$25:I$28=I25)*(H$25:H$28=H25)*(F$25:F$28&gt;F25))</f>
        <v>0</v>
      </c>
      <c r="N25" s="7">
        <f>SUMPRODUCT((I$25:I$28=I25)*(H$25:H$28=H25)*(F$25:F$28=F25)*(J$25:J$28&gt;J25))</f>
        <v>0</v>
      </c>
      <c r="O25" s="7">
        <f>X25</f>
        <v>1</v>
      </c>
      <c r="P25" s="7" t="str">
        <f>VLOOKUP(1,A$25:B$28,2,FALSE)</f>
        <v>Sweden</v>
      </c>
      <c r="Q25" s="7">
        <f>SUMIF(B$4:B$28,P25,F$4:F$28)</f>
        <v>0</v>
      </c>
      <c r="R25" s="7">
        <f>SUMIF(B$4:B$28,P25,H$4:H$28)</f>
        <v>100</v>
      </c>
      <c r="S25" s="70">
        <f>SUMIF(B$4:B$28,P25,I$4:I$28)</f>
        <v>0</v>
      </c>
      <c r="T25" s="7">
        <f aca="true" t="shared" si="9" ref="T25:V28">SUMIF($B$4:$B$28,$P25,K$4:K$28)</f>
        <v>1</v>
      </c>
      <c r="U25" s="7">
        <f t="shared" si="9"/>
        <v>0</v>
      </c>
      <c r="V25" s="7">
        <f t="shared" si="9"/>
        <v>0</v>
      </c>
      <c r="W25" s="7">
        <f>SUMIF($B$4:$B$28,$P25,J$4:J$28)</f>
        <v>2273</v>
      </c>
      <c r="X25" s="7">
        <f>IF(Y25=0,T25,T25+AG25+AH25+AI25+AJ25+AK25+AL25)</f>
        <v>1</v>
      </c>
      <c r="Y25" s="7" t="str">
        <f>IF(COUNTIF(S$25:S$28,S25)=1,0,P25)</f>
        <v>Sweden</v>
      </c>
      <c r="Z25" s="7">
        <f>SUMIF($AW$4:$AW$27,Y25,$AV$4:$AV$27)+SUMIF($AZ$4:$AZ$27,Y25,$AV$4:$AV$27)</f>
        <v>0</v>
      </c>
      <c r="AA25" s="7">
        <f>SUMIF($AX$4:$AX$27,$Y25,$AV$4:$AV$27)+SUMIF($BA$4:$BA$27,$Y25,$AV$4:$AV$27)</f>
        <v>0</v>
      </c>
      <c r="AB25" s="7">
        <f>SUMIF($AY$4:$AY$27,$Y25,$AV$4:$AV$27)+SUMIF($BB$4:$BB$27,$Y25,$AV$4:$AV$27)</f>
        <v>0</v>
      </c>
      <c r="AC25" s="7">
        <f>SUMIF(AW$4:AW$27,Y25,AQ$4:AQ$27)+SUMIF(AZ$4:AZ$27,Y25,AU$4:AU$27)+SUMIF(AX$4:AX$27,Y25,AQ$4:AQ$27)+SUMIF(BA$4:BA$27,Y25,AU$4:AU$27)</f>
        <v>0</v>
      </c>
      <c r="AD25" s="7">
        <f>SUMIF(AY$4:AY$27,Y25,AQ$4:AQ$27)+SUMIF(BB$4:BB$27,Y25,AU$4:AU$27)+SUMIF(AX$4:AX$27,Y25,AQ$4:AQ$27)+SUMIF(BA$4:BA$27,Y25,AU$4:AU$27)</f>
        <v>0</v>
      </c>
      <c r="AE25" s="7">
        <f>AC25-AD25+100</f>
        <v>100</v>
      </c>
      <c r="AF25" s="70">
        <f>IF(Y25&lt;&gt;0,Z25*3+AA25,"")</f>
        <v>0</v>
      </c>
      <c r="AG25" s="7">
        <f>IF(Y25&lt;&gt;0,RANK(AF25,AF$25:AF$28)-1,5)</f>
        <v>0</v>
      </c>
      <c r="AH25" s="7">
        <f>IF(Y25&lt;&gt;0,SUMPRODUCT((AF$25:AF$28=AF25)*(AE$25:AE$28&gt;AE25)),5)</f>
        <v>0</v>
      </c>
      <c r="AI25" s="7">
        <f>IF(Y25&lt;&gt;0,SUMPRODUCT((AF$25:AF$28=AF25)*(AE$25:AE$28=AE25)*(AC$25:AC$28&gt;AC25)),5)</f>
        <v>0</v>
      </c>
      <c r="AJ25" s="7">
        <f>IF(Y25&lt;&gt;0,SUMPRODUCT(($AF$25:$AF$28=AF25)*($AE$25:$AE$28=AE25)*($AC$25:$AC$28=AC25)*($R$25:$R$28&gt;R25)),5)</f>
        <v>0</v>
      </c>
      <c r="AK25" s="7">
        <f>IF(Y25&lt;&gt;0,SUMPRODUCT(($AF$25:$AF$28=AF25)*($AE$25:$AE$28=AE25)*($AC$25:$AC$28=AC25)*($R$25:$R$28=R25)*($Q$25:$Q$28&gt;Q25)),5)</f>
        <v>0</v>
      </c>
      <c r="AL25" s="7">
        <f>IF($Y25&lt;&gt;0,SUMPRODUCT(($AF$25:$AF$28=$AF25)*($AE$25:$AE$28=$AE25)*($AC$25:$AC$28=$AC25)*($R$25:$R$28=$R25)*($Q$25:$Q$28=$Q25)*($W$25:$W$28&gt;$W25)),5)</f>
        <v>0</v>
      </c>
      <c r="AM25" s="7">
        <v>22</v>
      </c>
      <c r="AN25" s="7">
        <f>IF(AND('Euro 2008 Schedule'!I34&lt;&gt;"",'Euro 2008 Schedule'!K34&lt;&gt;""),IF('Euro 2008 Schedule'!I34&gt;'Euro 2008 Schedule'!K34,'Euro 2008 Schedule'!G34,""),"")</f>
      </c>
      <c r="AO25" s="7">
        <f>IF(AND('Euro 2008 Schedule'!I34&lt;&gt;"",'Euro 2008 Schedule'!K34&lt;&gt;""),IF('Euro 2008 Schedule'!I34='Euro 2008 Schedule'!K34,'Euro 2008 Schedule'!G34,""),"")</f>
      </c>
      <c r="AP25" s="7">
        <f>IF(AND('Euro 2008 Schedule'!I34&lt;&gt;"",'Euro 2008 Schedule'!K34&lt;&gt;""),IF('Euro 2008 Schedule'!I34&gt;'Euro 2008 Schedule'!K34,'Euro 2008 Schedule'!M34,""),"")</f>
      </c>
      <c r="AQ25" s="7">
        <f>IF(AND('Euro 2008 Schedule'!I34&lt;&gt;"",'Euro 2008 Schedule'!K34&lt;&gt;""),'Euro 2008 Schedule'!I34,0)</f>
        <v>0</v>
      </c>
      <c r="AR25" s="7">
        <f>IF(AND('Euro 2008 Schedule'!I34&lt;&gt;"",'Euro 2008 Schedule'!K34&lt;&gt;""),IF('Euro 2008 Schedule'!I34&lt;'Euro 2008 Schedule'!K34,'Euro 2008 Schedule'!M34,""),"")</f>
      </c>
      <c r="AS25" s="7">
        <f>IF(AND('Euro 2008 Schedule'!I34&lt;&gt;"",'Euro 2008 Schedule'!K34&lt;&gt;""),IF('Euro 2008 Schedule'!I34='Euro 2008 Schedule'!K34,'Euro 2008 Schedule'!M34,""),"")</f>
      </c>
      <c r="AT25" s="7">
        <f>IF(AND('Euro 2008 Schedule'!I34&lt;&gt;"",'Euro 2008 Schedule'!K34&lt;&gt;""),IF('Euro 2008 Schedule'!I34&lt;'Euro 2008 Schedule'!K34,'Euro 2008 Schedule'!G34,""),"")</f>
      </c>
      <c r="AU25" s="7">
        <f>IF(AND('Euro 2008 Schedule'!I34&lt;&gt;"",'Euro 2008 Schedule'!K34&lt;&gt;""),'Euro 2008 Schedule'!K34,0)</f>
        <v>0</v>
      </c>
      <c r="AV25" s="7">
        <v>1</v>
      </c>
      <c r="AW25" s="7">
        <f t="shared" si="2"/>
      </c>
      <c r="AX25" s="7">
        <f t="shared" si="3"/>
      </c>
      <c r="AY25" s="7">
        <f t="shared" si="4"/>
      </c>
      <c r="AZ25" s="7">
        <f t="shared" si="5"/>
      </c>
      <c r="BA25" s="7">
        <f t="shared" si="6"/>
      </c>
      <c r="BB25" s="7">
        <f t="shared" si="1"/>
      </c>
      <c r="BC25" s="7">
        <v>23</v>
      </c>
      <c r="BD25" s="7" t="str">
        <f>'Euro 2008 Schedule'!G35</f>
        <v>Greece</v>
      </c>
      <c r="BE25" s="7">
        <f>IF(AND('Euro 2008 Schedule'!I35&lt;&gt;"",'Euro 2008 Schedule'!K35&lt;&gt;""),'Euro 2008 Schedule'!I35,"")</f>
      </c>
      <c r="BF25" s="7">
        <f>IF(AND('Euro 2008 Schedule'!K35&lt;&gt;"",'Euro 2008 Schedule'!I35&lt;&gt;""),'Euro 2008 Schedule'!K35,"")</f>
      </c>
      <c r="BG25" s="7" t="str">
        <f>'Euro 2008 Schedule'!M35</f>
        <v>Spain</v>
      </c>
    </row>
    <row r="26" spans="1:59" ht="12.75">
      <c r="A26" s="7">
        <f>K26+L26+M26+N26</f>
        <v>2</v>
      </c>
      <c r="B26" s="7" t="str">
        <f>'Euro 2008 Schedule'!G19</f>
        <v>Spain</v>
      </c>
      <c r="C26" s="7">
        <f>SUMIF(AN$4:AN$27,B26,AV$4:AV$27)+SUMIF(AR$4:AR$27,B26,AV$4:AV$27)</f>
        <v>0</v>
      </c>
      <c r="D26" s="7">
        <f>SUMIF(AO$4:AO$27,B26,AV$4:AV$27)+SUMIF(AS$4:AS$27,B26,AV$4:AV$27)</f>
        <v>0</v>
      </c>
      <c r="E26" s="7">
        <f>SUMIF(AP$4:AP$27,B26,AV$4:AV$27)+SUMIF(AT$4:AT$27,B26,AV$4:AV$27)</f>
        <v>0</v>
      </c>
      <c r="F26" s="7">
        <f>SUMIF($BD$3:$BD$26,B26,$BE$3:$BE$26)+SUMIF($BG$3:$BG$26,B26,$BF$3:$BF$26)</f>
        <v>0</v>
      </c>
      <c r="G26" s="7">
        <f>SUMIF($BG$3:$BG$26,B26,$BE$3:$BE$26)+SUMIF($BD$3:$BD$26,B26,$BF$3:$BF$26)</f>
        <v>0</v>
      </c>
      <c r="H26" s="7">
        <f>F26-G26+100</f>
        <v>100</v>
      </c>
      <c r="I26" s="70">
        <f>C26*3+D26</f>
        <v>0</v>
      </c>
      <c r="J26" s="7">
        <v>2182</v>
      </c>
      <c r="K26" s="7">
        <f>RANK(I26,I$25:I$28)</f>
        <v>1</v>
      </c>
      <c r="L26" s="7">
        <f>SUMPRODUCT((I$25:I$28=I26)*(H$25:H$28&gt;H26))</f>
        <v>0</v>
      </c>
      <c r="M26" s="7">
        <f>SUMPRODUCT((I$25:I$28=I26)*(H$25:H$28=H26)*(F$25:F$28&gt;F26))</f>
        <v>0</v>
      </c>
      <c r="N26" s="7">
        <f>SUMPRODUCT((I$25:I$28=I26)*(H$25:H$28=H26)*(F$25:F$28=F26)*(J$25:J$28&gt;J26))</f>
        <v>1</v>
      </c>
      <c r="O26" s="7">
        <f>X26</f>
        <v>2</v>
      </c>
      <c r="P26" s="7" t="str">
        <f>VLOOKUP(2,A$25:B$28,2,FALSE)</f>
        <v>Spain</v>
      </c>
      <c r="Q26" s="7">
        <f>SUMIF(B$4:B$28,P26,F$4:F$28)</f>
        <v>0</v>
      </c>
      <c r="R26" s="7">
        <f>SUMIF(B$4:B$28,P26,H$4:H$28)</f>
        <v>100</v>
      </c>
      <c r="S26" s="70">
        <f>SUMIF(B$4:B$28,P26,I$4:I$28)</f>
        <v>0</v>
      </c>
      <c r="T26" s="7">
        <f t="shared" si="9"/>
        <v>1</v>
      </c>
      <c r="U26" s="7">
        <f t="shared" si="9"/>
        <v>0</v>
      </c>
      <c r="V26" s="7">
        <f t="shared" si="9"/>
        <v>0</v>
      </c>
      <c r="W26" s="7">
        <f>SUMIF($B$4:$B$28,$P26,J$4:J$28)</f>
        <v>2182</v>
      </c>
      <c r="X26" s="7">
        <f>IF(Y26=0,T26,T26+AG26+AH26+AI26+AJ26+AK26+AL26)</f>
        <v>2</v>
      </c>
      <c r="Y26" s="7" t="str">
        <f>IF(COUNTIF(S$25:S$28,S26)=1,0,P26)</f>
        <v>Spain</v>
      </c>
      <c r="Z26" s="7">
        <f>SUMIF($AW$4:$AW$27,Y26,$AV$4:$AV$27)+SUMIF($AZ$4:$AZ$27,Y26,$AV$4:$AV$27)</f>
        <v>0</v>
      </c>
      <c r="AA26" s="7">
        <f>SUMIF($AX$4:$AX$27,$Y26,$AV$4:$AV$27)+SUMIF($BA$4:$BA$27,$Y26,$AV$4:$AV$27)</f>
        <v>0</v>
      </c>
      <c r="AB26" s="7">
        <f>SUMIF($AY$4:$AY$27,$Y26,$AV$4:$AV$27)+SUMIF($BB$4:$BB$27,$Y26,$AV$4:$AV$27)</f>
        <v>0</v>
      </c>
      <c r="AC26" s="7">
        <f>SUMIF(AW$4:AW$27,Y26,AQ$4:AQ$27)+SUMIF(AZ$4:AZ$27,Y26,AU$4:AU$27)+SUMIF(AX$4:AX$27,Y26,AQ$4:AQ$27)+SUMIF(BA$4:BA$27,Y26,AU$4:AU$27)</f>
        <v>0</v>
      </c>
      <c r="AD26" s="7">
        <f>SUMIF(AY$4:AY$27,Y26,AQ$4:AQ$27)+SUMIF(BB$4:BB$27,Y26,AU$4:AU$27)+SUMIF(AX$4:AX$27,Y26,AQ$4:AQ$27)+SUMIF(BA$4:BA$27,Y26,AU$4:AU$27)</f>
        <v>0</v>
      </c>
      <c r="AE26" s="7">
        <f>AC26-AD26+100</f>
        <v>100</v>
      </c>
      <c r="AF26" s="70">
        <f>IF(Y26&lt;&gt;0,Z26*3+AA26,"")</f>
        <v>0</v>
      </c>
      <c r="AG26" s="7">
        <f>IF(Y26&lt;&gt;0,RANK(AF26,AF$25:AF$28)-1,5)</f>
        <v>0</v>
      </c>
      <c r="AH26" s="7">
        <f>IF(Y26&lt;&gt;0,SUMPRODUCT((AF$25:AF$28=AF26)*(AE$25:AE$28&gt;AE26)),5)</f>
        <v>0</v>
      </c>
      <c r="AI26" s="7">
        <f>IF(Y26&lt;&gt;0,SUMPRODUCT((AF$25:AF$28=AF26)*(AE$25:AE$28=AE26)*(AC$25:AC$28&gt;AC26)),5)</f>
        <v>0</v>
      </c>
      <c r="AJ26" s="7">
        <f>IF(Y26&lt;&gt;0,SUMPRODUCT(($AF$25:$AF$28=AF26)*($AE$25:$AE$28=AE26)*($AC$25:$AC$28=AC26)*($R$25:$R$28&gt;R26)),5)</f>
        <v>0</v>
      </c>
      <c r="AK26" s="7">
        <f>IF(Y26&lt;&gt;0,SUMPRODUCT(($AF$25:$AF$28=AF26)*($AE$25:$AE$28=AE26)*($AC$25:$AC$28=AC26)*($R$25:$R$28=R26)*($Q$25:$Q$28&gt;Q26)),5)</f>
        <v>0</v>
      </c>
      <c r="AL26" s="7">
        <f>IF($Y26&lt;&gt;0,SUMPRODUCT(($AF$25:$AF$28=$AF26)*($AE$25:$AE$28=$AE26)*($AC$25:$AC$28=$AC26)*($R$25:$R$28=$R26)*($Q$25:$Q$28=$Q26)*($W$25:$W$28&gt;$W26)),5)</f>
        <v>1</v>
      </c>
      <c r="AM26" s="7">
        <v>23</v>
      </c>
      <c r="AN26" s="7">
        <f>IF(AND('Euro 2008 Schedule'!I35&lt;&gt;"",'Euro 2008 Schedule'!K35&lt;&gt;""),IF('Euro 2008 Schedule'!I35&gt;'Euro 2008 Schedule'!K35,'Euro 2008 Schedule'!G35,""),"")</f>
      </c>
      <c r="AO26" s="7">
        <f>IF(AND('Euro 2008 Schedule'!I35&lt;&gt;"",'Euro 2008 Schedule'!K35&lt;&gt;""),IF('Euro 2008 Schedule'!I35='Euro 2008 Schedule'!K35,'Euro 2008 Schedule'!G35,""),"")</f>
      </c>
      <c r="AP26" s="7">
        <f>IF(AND('Euro 2008 Schedule'!I35&lt;&gt;"",'Euro 2008 Schedule'!K35&lt;&gt;""),IF('Euro 2008 Schedule'!I35&gt;'Euro 2008 Schedule'!K35,'Euro 2008 Schedule'!M35,""),"")</f>
      </c>
      <c r="AQ26" s="7">
        <f>IF(AND('Euro 2008 Schedule'!I35&lt;&gt;"",'Euro 2008 Schedule'!K35&lt;&gt;""),'Euro 2008 Schedule'!I35,0)</f>
        <v>0</v>
      </c>
      <c r="AR26" s="7">
        <f>IF(AND('Euro 2008 Schedule'!I35&lt;&gt;"",'Euro 2008 Schedule'!K35&lt;&gt;""),IF('Euro 2008 Schedule'!I35&lt;'Euro 2008 Schedule'!K35,'Euro 2008 Schedule'!M35,""),"")</f>
      </c>
      <c r="AS26" s="7">
        <f>IF(AND('Euro 2008 Schedule'!I35&lt;&gt;"",'Euro 2008 Schedule'!K35&lt;&gt;""),IF('Euro 2008 Schedule'!I35='Euro 2008 Schedule'!K35,'Euro 2008 Schedule'!M35,""),"")</f>
      </c>
      <c r="AT26" s="7">
        <f>IF(AND('Euro 2008 Schedule'!I35&lt;&gt;"",'Euro 2008 Schedule'!K35&lt;&gt;""),IF('Euro 2008 Schedule'!I35&lt;'Euro 2008 Schedule'!K35,'Euro 2008 Schedule'!G35,""),"")</f>
      </c>
      <c r="AU26" s="7">
        <f>IF(AND('Euro 2008 Schedule'!I35&lt;&gt;"",'Euro 2008 Schedule'!K35&lt;&gt;""),'Euro 2008 Schedule'!K35,0)</f>
        <v>0</v>
      </c>
      <c r="AV26" s="7">
        <v>1</v>
      </c>
      <c r="AW26" s="7">
        <f t="shared" si="2"/>
      </c>
      <c r="AX26" s="7">
        <f t="shared" si="3"/>
      </c>
      <c r="AY26" s="7">
        <f t="shared" si="4"/>
      </c>
      <c r="AZ26" s="7">
        <f t="shared" si="5"/>
      </c>
      <c r="BA26" s="7">
        <f t="shared" si="6"/>
      </c>
      <c r="BB26" s="7">
        <f t="shared" si="1"/>
      </c>
      <c r="BC26" s="7">
        <v>24</v>
      </c>
      <c r="BD26" s="7" t="str">
        <f>'Euro 2008 Schedule'!G36</f>
        <v>Russia</v>
      </c>
      <c r="BE26" s="7">
        <f>IF(AND('Euro 2008 Schedule'!I36&lt;&gt;"",'Euro 2008 Schedule'!K36&lt;&gt;""),'Euro 2008 Schedule'!I36,"")</f>
      </c>
      <c r="BF26" s="7">
        <f>IF(AND('Euro 2008 Schedule'!K36&lt;&gt;"",'Euro 2008 Schedule'!I36&lt;&gt;""),'Euro 2008 Schedule'!K36,"")</f>
      </c>
      <c r="BG26" s="7" t="str">
        <f>'Euro 2008 Schedule'!M36</f>
        <v>Sweden</v>
      </c>
    </row>
    <row r="27" spans="1:54" ht="12.75">
      <c r="A27" s="7">
        <f>K27+L27+M27+N27</f>
        <v>3</v>
      </c>
      <c r="B27" s="7" t="str">
        <f>'Euro 2008 Schedule'!G20</f>
        <v>Greece</v>
      </c>
      <c r="C27" s="7">
        <f>SUMIF(AN$4:AN$27,B27,AV$4:AV$27)+SUMIF(AR$4:AR$27,B27,AV$4:AV$27)</f>
        <v>0</v>
      </c>
      <c r="D27" s="7">
        <f>SUMIF(AO$4:AO$27,B27,AV$4:AV$27)+SUMIF(AS$4:AS$27,B27,AV$4:AV$27)</f>
        <v>0</v>
      </c>
      <c r="E27" s="7">
        <f>SUMIF(AP$4:AP$27,B27,AV$4:AV$27)+SUMIF(AT$4:AT$27,B27,AV$4:AV$27)</f>
        <v>0</v>
      </c>
      <c r="F27" s="7">
        <f>SUMIF($BD$3:$BD$26,B27,$BE$3:$BE$26)+SUMIF($BG$3:$BG$26,B27,$BF$3:$BF$26)</f>
        <v>0</v>
      </c>
      <c r="G27" s="7">
        <f>SUMIF($BG$3:$BG$26,B27,$BE$3:$BE$26)+SUMIF($BD$3:$BD$26,B27,$BF$3:$BF$26)</f>
        <v>0</v>
      </c>
      <c r="H27" s="7">
        <f>F27-G27+100</f>
        <v>100</v>
      </c>
      <c r="I27" s="70">
        <f>C27*3+D27</f>
        <v>0</v>
      </c>
      <c r="J27" s="7">
        <v>2167</v>
      </c>
      <c r="K27" s="7">
        <f>RANK(I27,I$25:I$28)</f>
        <v>1</v>
      </c>
      <c r="L27" s="7">
        <f>SUMPRODUCT((I$25:I$28=I27)*(H$25:H$28&gt;H27))</f>
        <v>0</v>
      </c>
      <c r="M27" s="7">
        <f>SUMPRODUCT((I$25:I$28=I27)*(H$25:H$28=H27)*(F$25:F$28&gt;F27))</f>
        <v>0</v>
      </c>
      <c r="N27" s="7">
        <f>SUMPRODUCT((I$25:I$28=I27)*(H$25:H$28=H27)*(F$25:F$28=F27)*(J$25:J$28&gt;J27))</f>
        <v>2</v>
      </c>
      <c r="O27" s="7">
        <f>IF(X27=5,3,IF(X27=6,4,X27))</f>
        <v>3</v>
      </c>
      <c r="P27" s="7" t="str">
        <f>VLOOKUP(3,A$25:B$28,2,FALSE)</f>
        <v>Greece</v>
      </c>
      <c r="Q27" s="7">
        <f>SUMIF(B$4:B$28,P27,F$4:F$28)</f>
        <v>0</v>
      </c>
      <c r="R27" s="7">
        <f>SUMIF(B$4:B$28,P27,H$4:H$28)</f>
        <v>100</v>
      </c>
      <c r="S27" s="70">
        <f>SUMIF(B$4:B$28,P27,I$4:I$28)</f>
        <v>0</v>
      </c>
      <c r="T27" s="7">
        <f t="shared" si="9"/>
        <v>1</v>
      </c>
      <c r="U27" s="7">
        <f t="shared" si="9"/>
        <v>0</v>
      </c>
      <c r="V27" s="7">
        <f t="shared" si="9"/>
        <v>0</v>
      </c>
      <c r="W27" s="7">
        <f>SUMIF($B$4:$B$28,$P27,J$4:J$28)</f>
        <v>2167</v>
      </c>
      <c r="X27" s="7">
        <f>IF(Y27=0,T27,T27+AG27+AH27+AI27+AJ27+AK27+AL27)</f>
        <v>3</v>
      </c>
      <c r="Y27" s="7" t="str">
        <f>IF(S27=S26,IF(COUNTIF(S$25:S$28,S27)=1,0,P27),0)</f>
        <v>Greece</v>
      </c>
      <c r="Z27" s="7">
        <f>SUMIF($AW$4:$AW$27,Y27,$AV$4:$AV$27)+SUMIF($AZ$4:$AZ$27,Y27,$AV$4:$AV$27)</f>
        <v>0</v>
      </c>
      <c r="AA27" s="7">
        <f>SUMIF($AX$4:$AX$27,$Y27,$AV$4:$AV$27)+SUMIF($BA$4:$BA$27,$Y27,$AV$4:$AV$27)</f>
        <v>0</v>
      </c>
      <c r="AB27" s="7">
        <f>SUMIF($AY$4:$AY$27,$Y27,$AV$4:$AV$27)+SUMIF($BB$4:$BB$27,$Y27,$AV$4:$AV$27)</f>
        <v>0</v>
      </c>
      <c r="AC27" s="7">
        <f>SUMIF(AW$4:AW$27,Y27,AQ$4:AQ$27)+SUMIF(AZ$4:AZ$27,Y27,AU$4:AU$27)+SUMIF(AX$4:AX$27,Y27,AQ$4:AQ$27)+SUMIF(BA$4:BA$27,Y27,AU$4:AU$27)</f>
        <v>0</v>
      </c>
      <c r="AD27" s="7">
        <f>SUMIF(AY$4:AY$27,Y27,AQ$4:AQ$27)+SUMIF(BB$4:BB$27,Y27,AU$4:AU$27)+SUMIF(AX$4:AX$27,Y27,AQ$4:AQ$27)+SUMIF(BA$4:BA$27,Y27,AU$4:AU$27)</f>
        <v>0</v>
      </c>
      <c r="AE27" s="7">
        <f>AC27-AD27+100</f>
        <v>100</v>
      </c>
      <c r="AF27" s="70">
        <f>IF(Y27&lt;&gt;0,Z27*3+AA27,"")</f>
        <v>0</v>
      </c>
      <c r="AG27" s="7">
        <f>IF(Y27&lt;&gt;0,RANK(AF27,AF$25:AF$28)-1,5)</f>
        <v>0</v>
      </c>
      <c r="AH27" s="7">
        <f>IF(Y27&lt;&gt;0,SUMPRODUCT((AF$25:AF$28=AF27)*(AE$25:AE$28&gt;AE27)),5)</f>
        <v>0</v>
      </c>
      <c r="AI27" s="7">
        <f>IF(Y27&lt;&gt;0,SUMPRODUCT((AF$25:AF$28=AF27)*(AE$25:AE$28=AE27)*(AC$25:AC$28&gt;AC27)),5)</f>
        <v>0</v>
      </c>
      <c r="AJ27" s="7">
        <f>IF(Y27&lt;&gt;0,SUMPRODUCT(($AF$25:$AF$28=AF27)*($AE$25:$AE$28=AE27)*($AC$25:$AC$28=AC27)*($R$25:$R$28&gt;R27)),5)</f>
        <v>0</v>
      </c>
      <c r="AK27" s="7">
        <f>IF(Y27&lt;&gt;0,SUMPRODUCT(($AF$25:$AF$28=AF27)*($AE$25:$AE$28=AE27)*($AC$25:$AC$28=AC27)*($R$25:$R$28=R27)*($Q$25:$Q$28&gt;Q27)),5)</f>
        <v>0</v>
      </c>
      <c r="AL27" s="7">
        <f>IF($Y27&lt;&gt;0,SUMPRODUCT(($AF$25:$AF$28=$AF27)*($AE$25:$AE$28=$AE27)*($AC$25:$AC$28=$AC27)*($R$25:$R$28=$R27)*($Q$25:$Q$28=$Q27)*($W$25:$W$28&gt;$W27)),5)</f>
        <v>2</v>
      </c>
      <c r="AM27" s="7">
        <v>24</v>
      </c>
      <c r="AN27" s="7">
        <f>IF(AND('Euro 2008 Schedule'!I36&lt;&gt;"",'Euro 2008 Schedule'!K36&lt;&gt;""),IF('Euro 2008 Schedule'!I36&gt;'Euro 2008 Schedule'!K36,'Euro 2008 Schedule'!G36,""),"")</f>
      </c>
      <c r="AO27" s="7">
        <f>IF(AND('Euro 2008 Schedule'!I36&lt;&gt;"",'Euro 2008 Schedule'!K36&lt;&gt;""),IF('Euro 2008 Schedule'!I36='Euro 2008 Schedule'!K36,'Euro 2008 Schedule'!G36,""),"")</f>
      </c>
      <c r="AP27" s="7">
        <f>IF(AND('Euro 2008 Schedule'!I36&lt;&gt;"",'Euro 2008 Schedule'!K36&lt;&gt;""),IF('Euro 2008 Schedule'!I36&gt;'Euro 2008 Schedule'!K36,'Euro 2008 Schedule'!M36,""),"")</f>
      </c>
      <c r="AQ27" s="7">
        <f>IF(AND('Euro 2008 Schedule'!I36&lt;&gt;"",'Euro 2008 Schedule'!K36&lt;&gt;""),'Euro 2008 Schedule'!I36,0)</f>
        <v>0</v>
      </c>
      <c r="AR27" s="7">
        <f>IF(AND('Euro 2008 Schedule'!I36&lt;&gt;"",'Euro 2008 Schedule'!K36&lt;&gt;""),IF('Euro 2008 Schedule'!I36&lt;'Euro 2008 Schedule'!K36,'Euro 2008 Schedule'!M36,""),"")</f>
      </c>
      <c r="AS27" s="7">
        <f>IF(AND('Euro 2008 Schedule'!I36&lt;&gt;"",'Euro 2008 Schedule'!K36&lt;&gt;""),IF('Euro 2008 Schedule'!I36='Euro 2008 Schedule'!K36,'Euro 2008 Schedule'!M36,""),"")</f>
      </c>
      <c r="AT27" s="7">
        <f>IF(AND('Euro 2008 Schedule'!I36&lt;&gt;"",'Euro 2008 Schedule'!K36&lt;&gt;""),IF('Euro 2008 Schedule'!I36&lt;'Euro 2008 Schedule'!K36,'Euro 2008 Schedule'!G36,""),"")</f>
      </c>
      <c r="AU27" s="7">
        <f>IF(AND('Euro 2008 Schedule'!I36&lt;&gt;"",'Euro 2008 Schedule'!K36&lt;&gt;""),'Euro 2008 Schedule'!K36,0)</f>
        <v>0</v>
      </c>
      <c r="AV27" s="7">
        <v>1</v>
      </c>
      <c r="AW27" s="7">
        <f t="shared" si="2"/>
      </c>
      <c r="AX27" s="7">
        <f t="shared" si="3"/>
      </c>
      <c r="AY27" s="7">
        <f t="shared" si="4"/>
      </c>
      <c r="AZ27" s="7">
        <f t="shared" si="5"/>
      </c>
      <c r="BA27" s="7">
        <f t="shared" si="6"/>
      </c>
      <c r="BB27" s="7">
        <f t="shared" si="1"/>
      </c>
    </row>
    <row r="28" spans="1:38" ht="12.75">
      <c r="A28" s="7">
        <f>K28+L28+M28+N28</f>
        <v>4</v>
      </c>
      <c r="B28" s="7" t="str">
        <f>'Euro 2008 Schedule'!M19</f>
        <v>Russia</v>
      </c>
      <c r="C28" s="7">
        <f>SUMIF(AN$4:AN$27,B28,AV$4:AV$27)+SUMIF(AR$4:AR$27,B28,AV$4:AV$27)</f>
        <v>0</v>
      </c>
      <c r="D28" s="7">
        <f>SUMIF(AO$4:AO$27,B28,AV$4:AV$27)+SUMIF(AS$4:AS$27,B28,AV$4:AV$27)</f>
        <v>0</v>
      </c>
      <c r="E28" s="7">
        <f>SUMIF(AP$4:AP$27,B28,AV$4:AV$27)+SUMIF(AT$4:AT$27,B28,AV$4:AV$27)</f>
        <v>0</v>
      </c>
      <c r="F28" s="7">
        <f>SUMIF($BD$3:$BD$26,B28,$BE$3:$BE$26)+SUMIF($BG$3:$BG$26,B28,$BF$3:$BF$26)</f>
        <v>0</v>
      </c>
      <c r="G28" s="7">
        <f>SUMIF($BG$3:$BG$26,B28,$BE$3:$BE$26)+SUMIF($BD$3:$BD$26,B28,$BF$3:$BF$26)</f>
        <v>0</v>
      </c>
      <c r="H28" s="7">
        <f>F28-G28+100</f>
        <v>100</v>
      </c>
      <c r="I28" s="70">
        <f>C28*3+D28</f>
        <v>0</v>
      </c>
      <c r="J28" s="7">
        <v>1958</v>
      </c>
      <c r="K28" s="7">
        <f>RANK(I28,I$25:I$28)</f>
        <v>1</v>
      </c>
      <c r="L28" s="7">
        <f>SUMPRODUCT((I$25:I$28=I28)*(H$25:H$28&gt;H28))</f>
        <v>0</v>
      </c>
      <c r="M28" s="7">
        <f>SUMPRODUCT((I$25:I$28=I28)*(H$25:H$28=H28)*(F$25:F$28&gt;F28))</f>
        <v>0</v>
      </c>
      <c r="N28" s="7">
        <f>SUMPRODUCT((I$25:I$28=I28)*(H$25:H$28=H28)*(F$25:F$28=F28)*(J$25:J$28&gt;J28))</f>
        <v>3</v>
      </c>
      <c r="O28" s="7">
        <f>IF(X28=X27,IF(X28=3,4,X28),IF(X28=5,3,IF(X28=6,4,X28)))</f>
        <v>4</v>
      </c>
      <c r="P28" s="7" t="str">
        <f>VLOOKUP(4,A$25:B$28,2,FALSE)</f>
        <v>Russia</v>
      </c>
      <c r="Q28" s="7">
        <f>SUMIF(B$4:B$28,P28,F$4:F$28)</f>
        <v>0</v>
      </c>
      <c r="R28" s="7">
        <f>SUMIF(B$4:B$28,P28,H$4:H$28)</f>
        <v>100</v>
      </c>
      <c r="S28" s="70">
        <f>SUMIF(B$4:B$28,P28,I$4:I$28)</f>
        <v>0</v>
      </c>
      <c r="T28" s="7">
        <f t="shared" si="9"/>
        <v>1</v>
      </c>
      <c r="U28" s="7">
        <f t="shared" si="9"/>
        <v>0</v>
      </c>
      <c r="V28" s="7">
        <f t="shared" si="9"/>
        <v>0</v>
      </c>
      <c r="W28" s="7">
        <f>SUMIF($B$4:$B$28,$P28,J$4:J$28)</f>
        <v>1958</v>
      </c>
      <c r="X28" s="7">
        <f>IF(Y28=0,T28,T28+AG28+AH28+AI28+AJ28+AK28+AL28)</f>
        <v>4</v>
      </c>
      <c r="Y28" s="7" t="str">
        <f>IF(Y27=0,0,IF(COUNTIF(S$25:S$28,S28)=1,0,P28))</f>
        <v>Russia</v>
      </c>
      <c r="Z28" s="7">
        <f>SUMIF($AW$4:$AW$27,Y28,$AV$4:$AV$27)+SUMIF($AZ$4:$AZ$27,Y28,$AV$4:$AV$27)</f>
        <v>0</v>
      </c>
      <c r="AA28" s="7">
        <f>SUMIF($AX$4:$AX$27,$Y28,$AV$4:$AV$27)+SUMIF($BA$4:$BA$27,$Y28,$AV$4:$AV$27)</f>
        <v>0</v>
      </c>
      <c r="AB28" s="7">
        <f>SUMIF($AY$4:$AY$27,$Y28,$AV$4:$AV$27)+SUMIF($BB$4:$BB$27,$Y28,$AV$4:$AV$27)</f>
        <v>0</v>
      </c>
      <c r="AC28" s="7">
        <f>SUMIF(AW$4:AW$27,Y28,AQ$4:AQ$27)+SUMIF(AZ$4:AZ$27,Y28,AU$4:AU$27)+SUMIF(AX$4:AX$27,Y28,AQ$4:AQ$27)+SUMIF(BA$4:BA$27,Y28,AU$4:AU$27)</f>
        <v>0</v>
      </c>
      <c r="AD28" s="7">
        <f>SUMIF(AY$4:AY$27,Y28,AQ$4:AQ$27)+SUMIF(BB$4:BB$27,Y28,AU$4:AU$27)+SUMIF(AX$4:AX$27,Y28,AQ$4:AQ$27)+SUMIF(BA$4:BA$27,Y28,AU$4:AU$27)</f>
        <v>0</v>
      </c>
      <c r="AE28" s="7">
        <f>AC28-AD28+100</f>
        <v>100</v>
      </c>
      <c r="AF28" s="70">
        <f>IF(Y28&lt;&gt;0,Z28*3+AA28,"")</f>
        <v>0</v>
      </c>
      <c r="AG28" s="7">
        <f>IF(Y28&lt;&gt;0,RANK(AF28,AF$25:AF$28)-1,5)</f>
        <v>0</v>
      </c>
      <c r="AH28" s="7">
        <f>IF(Y28&lt;&gt;0,SUMPRODUCT((AF$25:AF$28=AF28)*(AE$25:AE$28&gt;AE28)),5)</f>
        <v>0</v>
      </c>
      <c r="AI28" s="7">
        <f>IF(Y28&lt;&gt;0,SUMPRODUCT((AF$25:AF$28=AF28)*(AE$25:AE$28=AE28)*(AC$25:AC$28&gt;AC28)),5)</f>
        <v>0</v>
      </c>
      <c r="AJ28" s="7">
        <f>IF(Y28&lt;&gt;0,SUMPRODUCT(($AF$25:$AF$28=AF28)*($AE$25:$AE$28=AE28)*($AC$25:$AC$28=AC28)*($R$25:$R$28&gt;R28)),5)</f>
        <v>0</v>
      </c>
      <c r="AK28" s="7">
        <f>IF(Y28&lt;&gt;0,SUMPRODUCT(($AF$25:$AF$28=AF28)*($AE$25:$AE$28=AE28)*($AC$25:$AC$28=AC28)*($R$25:$R$28=R28)*($Q$25:$Q$28&gt;Q28)),5)</f>
        <v>0</v>
      </c>
      <c r="AL28" s="7">
        <f>IF($Y28&lt;&gt;0,SUMPRODUCT(($AF$25:$AF$28=$AF28)*($AE$25:$AE$28=$AE28)*($AC$25:$AC$28=$AC28)*($R$25:$R$28=$R28)*($Q$25:$Q$28=$Q28)*($W$25:$W$28&gt;$W28)),5)</f>
        <v>3</v>
      </c>
    </row>
  </sheetData>
  <sheetProtection password="ECEE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3.28125" style="71" bestFit="1" customWidth="1"/>
    <col min="2" max="2" width="35.8515625" style="71" bestFit="1" customWidth="1"/>
    <col min="3" max="3" width="9.140625" style="71" customWidth="1"/>
    <col min="4" max="4" width="11.8515625" style="71" bestFit="1" customWidth="1"/>
    <col min="5" max="16384" width="9.140625" style="71" customWidth="1"/>
  </cols>
  <sheetData>
    <row r="1" spans="3:30" ht="12.75">
      <c r="C1" s="72" t="s">
        <v>288</v>
      </c>
      <c r="D1" s="72" t="s">
        <v>394</v>
      </c>
      <c r="E1" s="72" t="s">
        <v>374</v>
      </c>
      <c r="F1" s="72" t="s">
        <v>305</v>
      </c>
      <c r="G1" s="72" t="s">
        <v>173</v>
      </c>
      <c r="H1" s="72" t="s">
        <v>411</v>
      </c>
      <c r="I1" s="72" t="s">
        <v>356</v>
      </c>
      <c r="J1" s="72" t="s">
        <v>222</v>
      </c>
      <c r="K1" s="72" t="s">
        <v>212</v>
      </c>
      <c r="L1" s="72" t="s">
        <v>263</v>
      </c>
      <c r="M1" s="72" t="s">
        <v>19</v>
      </c>
      <c r="N1" s="72" t="s">
        <v>106</v>
      </c>
      <c r="O1" s="72" t="s">
        <v>322</v>
      </c>
      <c r="P1" s="72" t="s">
        <v>190</v>
      </c>
      <c r="Q1" s="72" t="s">
        <v>116</v>
      </c>
      <c r="R1" s="72" t="s">
        <v>147</v>
      </c>
      <c r="S1" s="72" t="s">
        <v>377</v>
      </c>
      <c r="T1" s="72" t="s">
        <v>234</v>
      </c>
      <c r="U1" s="72" t="s">
        <v>146</v>
      </c>
      <c r="V1" s="72" t="s">
        <v>117</v>
      </c>
      <c r="W1" s="72" t="s">
        <v>197</v>
      </c>
      <c r="X1" s="72" t="s">
        <v>329</v>
      </c>
      <c r="Y1" s="72" t="s">
        <v>280</v>
      </c>
      <c r="Z1" s="72" t="s">
        <v>248</v>
      </c>
      <c r="AA1" s="72" t="s">
        <v>105</v>
      </c>
      <c r="AB1" s="72" t="s">
        <v>346</v>
      </c>
      <c r="AC1" s="72" t="s">
        <v>371</v>
      </c>
      <c r="AD1" s="73" t="s">
        <v>43</v>
      </c>
    </row>
    <row r="2" spans="1:2" ht="12.75">
      <c r="A2" s="71">
        <v>1</v>
      </c>
      <c r="B2" s="74" t="s">
        <v>39</v>
      </c>
    </row>
    <row r="3" spans="1:30" ht="12.75">
      <c r="A3" s="71">
        <v>2</v>
      </c>
      <c r="B3" s="74" t="s">
        <v>17</v>
      </c>
      <c r="C3" s="55" t="s">
        <v>281</v>
      </c>
      <c r="D3" s="55" t="s">
        <v>378</v>
      </c>
      <c r="E3" s="55" t="s">
        <v>40</v>
      </c>
      <c r="F3" s="55" t="s">
        <v>289</v>
      </c>
      <c r="G3" s="55" t="s">
        <v>118</v>
      </c>
      <c r="H3" s="55" t="s">
        <v>395</v>
      </c>
      <c r="I3" s="55" t="s">
        <v>347</v>
      </c>
      <c r="J3" s="55" t="s">
        <v>213</v>
      </c>
      <c r="K3" s="55" t="s">
        <v>198</v>
      </c>
      <c r="L3" s="55" t="s">
        <v>249</v>
      </c>
      <c r="M3" s="55" t="s">
        <v>64</v>
      </c>
      <c r="N3" s="55" t="s">
        <v>78</v>
      </c>
      <c r="O3" s="55" t="s">
        <v>306</v>
      </c>
      <c r="P3" s="55" t="s">
        <v>174</v>
      </c>
      <c r="Q3" s="55" t="s">
        <v>107</v>
      </c>
      <c r="R3" s="55" t="s">
        <v>148</v>
      </c>
      <c r="S3" s="55" t="s">
        <v>40</v>
      </c>
      <c r="T3" s="55" t="s">
        <v>148</v>
      </c>
      <c r="U3" s="55" t="s">
        <v>131</v>
      </c>
      <c r="V3" s="55" t="s">
        <v>118</v>
      </c>
      <c r="W3" s="55" t="s">
        <v>191</v>
      </c>
      <c r="X3" s="55" t="s">
        <v>289</v>
      </c>
      <c r="Y3" s="55" t="s">
        <v>264</v>
      </c>
      <c r="Z3" s="55" t="s">
        <v>235</v>
      </c>
      <c r="AA3" s="55" t="s">
        <v>93</v>
      </c>
      <c r="AB3" s="55" t="s">
        <v>330</v>
      </c>
      <c r="AC3" s="55" t="s">
        <v>357</v>
      </c>
      <c r="AD3" s="74" t="s">
        <v>17</v>
      </c>
    </row>
    <row r="4" spans="1:30" ht="12.75">
      <c r="A4" s="71">
        <v>3</v>
      </c>
      <c r="B4" s="74" t="s">
        <v>5</v>
      </c>
      <c r="C4" s="55" t="s">
        <v>282</v>
      </c>
      <c r="D4" s="55" t="s">
        <v>379</v>
      </c>
      <c r="E4" s="55" t="s">
        <v>41</v>
      </c>
      <c r="F4" s="55" t="s">
        <v>290</v>
      </c>
      <c r="G4" s="55" t="s">
        <v>164</v>
      </c>
      <c r="H4" s="55" t="s">
        <v>396</v>
      </c>
      <c r="I4" s="55" t="s">
        <v>348</v>
      </c>
      <c r="J4" s="55" t="s">
        <v>79</v>
      </c>
      <c r="K4" s="55" t="s">
        <v>199</v>
      </c>
      <c r="L4" s="55" t="s">
        <v>250</v>
      </c>
      <c r="M4" s="55" t="s">
        <v>65</v>
      </c>
      <c r="N4" s="55" t="s">
        <v>79</v>
      </c>
      <c r="O4" s="55" t="s">
        <v>307</v>
      </c>
      <c r="P4" s="55" t="s">
        <v>175</v>
      </c>
      <c r="Q4" s="55" t="s">
        <v>108</v>
      </c>
      <c r="R4" s="55" t="s">
        <v>149</v>
      </c>
      <c r="S4" s="55" t="s">
        <v>5</v>
      </c>
      <c r="T4" s="55" t="s">
        <v>108</v>
      </c>
      <c r="U4" s="55" t="s">
        <v>132</v>
      </c>
      <c r="V4" s="55" t="s">
        <v>119</v>
      </c>
      <c r="W4" s="55" t="s">
        <v>192</v>
      </c>
      <c r="X4" s="55" t="s">
        <v>290</v>
      </c>
      <c r="Y4" s="55" t="s">
        <v>265</v>
      </c>
      <c r="Z4" s="55" t="s">
        <v>236</v>
      </c>
      <c r="AA4" s="55" t="s">
        <v>94</v>
      </c>
      <c r="AB4" s="55" t="s">
        <v>331</v>
      </c>
      <c r="AC4" s="55" t="s">
        <v>358</v>
      </c>
      <c r="AD4" s="74" t="s">
        <v>5</v>
      </c>
    </row>
    <row r="5" spans="1:30" ht="12.75">
      <c r="A5" s="71">
        <v>4</v>
      </c>
      <c r="B5" s="74" t="s">
        <v>6</v>
      </c>
      <c r="C5" s="55" t="s">
        <v>133</v>
      </c>
      <c r="D5" s="55" t="s">
        <v>380</v>
      </c>
      <c r="E5" s="55" t="s">
        <v>6</v>
      </c>
      <c r="F5" s="55" t="s">
        <v>291</v>
      </c>
      <c r="G5" s="55" t="s">
        <v>6</v>
      </c>
      <c r="H5" s="55" t="s">
        <v>397</v>
      </c>
      <c r="I5" s="55" t="s">
        <v>6</v>
      </c>
      <c r="J5" s="55" t="s">
        <v>6</v>
      </c>
      <c r="K5" s="55" t="s">
        <v>6</v>
      </c>
      <c r="L5" s="55" t="s">
        <v>251</v>
      </c>
      <c r="M5" s="55" t="s">
        <v>6</v>
      </c>
      <c r="N5" s="55" t="s">
        <v>6</v>
      </c>
      <c r="O5" s="55" t="s">
        <v>308</v>
      </c>
      <c r="P5" s="55" t="s">
        <v>176</v>
      </c>
      <c r="Q5" s="55" t="s">
        <v>109</v>
      </c>
      <c r="R5" s="55" t="s">
        <v>150</v>
      </c>
      <c r="S5" s="55" t="s">
        <v>6</v>
      </c>
      <c r="T5" s="55" t="s">
        <v>6</v>
      </c>
      <c r="U5" s="55" t="s">
        <v>133</v>
      </c>
      <c r="V5" s="55" t="s">
        <v>6</v>
      </c>
      <c r="W5" s="55" t="s">
        <v>133</v>
      </c>
      <c r="X5" s="55" t="s">
        <v>291</v>
      </c>
      <c r="Y5" s="55" t="s">
        <v>266</v>
      </c>
      <c r="Z5" s="55" t="s">
        <v>237</v>
      </c>
      <c r="AA5" s="55" t="s">
        <v>6</v>
      </c>
      <c r="AB5" s="55" t="s">
        <v>332</v>
      </c>
      <c r="AC5" s="55" t="s">
        <v>359</v>
      </c>
      <c r="AD5" s="74" t="s">
        <v>6</v>
      </c>
    </row>
    <row r="6" spans="1:30" ht="12.75">
      <c r="A6" s="71">
        <v>5</v>
      </c>
      <c r="B6" s="74" t="s">
        <v>13</v>
      </c>
      <c r="C6" s="55" t="s">
        <v>283</v>
      </c>
      <c r="D6" s="55" t="s">
        <v>381</v>
      </c>
      <c r="E6" s="55" t="s">
        <v>372</v>
      </c>
      <c r="F6" s="55" t="s">
        <v>292</v>
      </c>
      <c r="G6" s="55" t="s">
        <v>165</v>
      </c>
      <c r="H6" s="55" t="s">
        <v>398</v>
      </c>
      <c r="I6" s="55" t="s">
        <v>238</v>
      </c>
      <c r="J6" s="55" t="s">
        <v>214</v>
      </c>
      <c r="K6" s="55" t="s">
        <v>200</v>
      </c>
      <c r="L6" s="55" t="s">
        <v>252</v>
      </c>
      <c r="M6" s="55" t="s">
        <v>66</v>
      </c>
      <c r="N6" s="55" t="s">
        <v>80</v>
      </c>
      <c r="O6" s="55" t="s">
        <v>309</v>
      </c>
      <c r="P6" s="55" t="s">
        <v>177</v>
      </c>
      <c r="Q6" s="55" t="s">
        <v>110</v>
      </c>
      <c r="R6" s="55" t="s">
        <v>151</v>
      </c>
      <c r="S6" s="55" t="s">
        <v>375</v>
      </c>
      <c r="T6" s="55" t="s">
        <v>223</v>
      </c>
      <c r="U6" s="55" t="s">
        <v>134</v>
      </c>
      <c r="V6" s="55" t="s">
        <v>95</v>
      </c>
      <c r="W6" s="55" t="s">
        <v>193</v>
      </c>
      <c r="X6" s="55" t="s">
        <v>292</v>
      </c>
      <c r="Y6" s="55" t="s">
        <v>267</v>
      </c>
      <c r="Z6" s="55" t="s">
        <v>238</v>
      </c>
      <c r="AA6" s="55" t="s">
        <v>95</v>
      </c>
      <c r="AB6" s="55" t="s">
        <v>333</v>
      </c>
      <c r="AC6" s="55" t="s">
        <v>360</v>
      </c>
      <c r="AD6" s="74" t="s">
        <v>13</v>
      </c>
    </row>
    <row r="7" spans="1:30" ht="12.75">
      <c r="A7" s="71">
        <v>6</v>
      </c>
      <c r="B7" s="74" t="s">
        <v>18</v>
      </c>
      <c r="C7" s="55" t="s">
        <v>96</v>
      </c>
      <c r="D7" s="55" t="s">
        <v>382</v>
      </c>
      <c r="E7" s="55" t="s">
        <v>46</v>
      </c>
      <c r="F7" s="55" t="s">
        <v>293</v>
      </c>
      <c r="G7" s="55" t="s">
        <v>166</v>
      </c>
      <c r="H7" s="55" t="s">
        <v>399</v>
      </c>
      <c r="I7" s="55" t="s">
        <v>349</v>
      </c>
      <c r="J7" s="55" t="s">
        <v>81</v>
      </c>
      <c r="K7" s="55" t="s">
        <v>81</v>
      </c>
      <c r="L7" s="55" t="s">
        <v>253</v>
      </c>
      <c r="M7" s="55" t="s">
        <v>67</v>
      </c>
      <c r="N7" s="55" t="s">
        <v>81</v>
      </c>
      <c r="O7" s="55" t="s">
        <v>310</v>
      </c>
      <c r="P7" s="55" t="s">
        <v>178</v>
      </c>
      <c r="Q7" s="55" t="s">
        <v>96</v>
      </c>
      <c r="R7" s="55" t="s">
        <v>152</v>
      </c>
      <c r="S7" s="55" t="s">
        <v>18</v>
      </c>
      <c r="T7" s="55" t="s">
        <v>224</v>
      </c>
      <c r="U7" s="55" t="s">
        <v>135</v>
      </c>
      <c r="V7" s="55" t="s">
        <v>120</v>
      </c>
      <c r="W7" s="55" t="s">
        <v>96</v>
      </c>
      <c r="X7" s="55" t="s">
        <v>323</v>
      </c>
      <c r="Y7" s="55" t="s">
        <v>268</v>
      </c>
      <c r="Z7" s="55" t="s">
        <v>135</v>
      </c>
      <c r="AA7" s="55" t="s">
        <v>96</v>
      </c>
      <c r="AB7" s="55" t="s">
        <v>334</v>
      </c>
      <c r="AC7" s="55" t="s">
        <v>361</v>
      </c>
      <c r="AD7" s="74" t="s">
        <v>18</v>
      </c>
    </row>
    <row r="8" spans="1:30" ht="12.75">
      <c r="A8" s="71">
        <v>7</v>
      </c>
      <c r="B8" s="74" t="s">
        <v>8</v>
      </c>
      <c r="C8" s="55" t="s">
        <v>284</v>
      </c>
      <c r="D8" s="55" t="s">
        <v>383</v>
      </c>
      <c r="E8" s="55" t="s">
        <v>45</v>
      </c>
      <c r="F8" s="55" t="s">
        <v>294</v>
      </c>
      <c r="G8" s="55" t="s">
        <v>167</v>
      </c>
      <c r="H8" s="55" t="s">
        <v>400</v>
      </c>
      <c r="I8" s="55" t="s">
        <v>350</v>
      </c>
      <c r="J8" s="55" t="s">
        <v>215</v>
      </c>
      <c r="K8" s="55" t="s">
        <v>201</v>
      </c>
      <c r="L8" s="55" t="s">
        <v>254</v>
      </c>
      <c r="M8" s="55" t="s">
        <v>68</v>
      </c>
      <c r="N8" s="55" t="s">
        <v>82</v>
      </c>
      <c r="O8" s="55" t="s">
        <v>311</v>
      </c>
      <c r="P8" s="55" t="s">
        <v>179</v>
      </c>
      <c r="Q8" s="55" t="s">
        <v>111</v>
      </c>
      <c r="R8" s="55" t="s">
        <v>153</v>
      </c>
      <c r="S8" s="55" t="s">
        <v>45</v>
      </c>
      <c r="T8" s="55" t="s">
        <v>225</v>
      </c>
      <c r="U8" s="55" t="s">
        <v>136</v>
      </c>
      <c r="V8" s="55" t="s">
        <v>121</v>
      </c>
      <c r="W8" s="55" t="s">
        <v>111</v>
      </c>
      <c r="X8" s="55" t="s">
        <v>294</v>
      </c>
      <c r="Y8" s="55" t="s">
        <v>269</v>
      </c>
      <c r="Z8" s="55" t="s">
        <v>239</v>
      </c>
      <c r="AA8" s="55" t="s">
        <v>97</v>
      </c>
      <c r="AB8" s="55" t="s">
        <v>335</v>
      </c>
      <c r="AC8" s="55" t="s">
        <v>362</v>
      </c>
      <c r="AD8" s="74" t="s">
        <v>8</v>
      </c>
    </row>
    <row r="9" spans="1:30" ht="12.75">
      <c r="A9" s="71">
        <v>8</v>
      </c>
      <c r="B9" s="74" t="s">
        <v>14</v>
      </c>
      <c r="C9" s="55" t="s">
        <v>285</v>
      </c>
      <c r="D9" s="55" t="s">
        <v>384</v>
      </c>
      <c r="E9" s="55" t="s">
        <v>44</v>
      </c>
      <c r="F9" s="55" t="s">
        <v>295</v>
      </c>
      <c r="G9" s="55" t="s">
        <v>168</v>
      </c>
      <c r="H9" s="55" t="s">
        <v>401</v>
      </c>
      <c r="I9" s="55" t="s">
        <v>351</v>
      </c>
      <c r="J9" s="55" t="s">
        <v>83</v>
      </c>
      <c r="K9" s="55" t="s">
        <v>202</v>
      </c>
      <c r="L9" s="55" t="s">
        <v>255</v>
      </c>
      <c r="M9" s="55" t="s">
        <v>69</v>
      </c>
      <c r="N9" s="55" t="s">
        <v>83</v>
      </c>
      <c r="O9" s="55" t="s">
        <v>312</v>
      </c>
      <c r="P9" s="55" t="s">
        <v>180</v>
      </c>
      <c r="Q9" s="55" t="s">
        <v>112</v>
      </c>
      <c r="R9" s="55" t="s">
        <v>154</v>
      </c>
      <c r="S9" s="55" t="s">
        <v>14</v>
      </c>
      <c r="T9" s="55" t="s">
        <v>226</v>
      </c>
      <c r="U9" s="55" t="s">
        <v>137</v>
      </c>
      <c r="V9" s="55" t="s">
        <v>122</v>
      </c>
      <c r="W9" s="55" t="s">
        <v>14</v>
      </c>
      <c r="X9" s="55" t="s">
        <v>324</v>
      </c>
      <c r="Y9" s="55" t="s">
        <v>270</v>
      </c>
      <c r="Z9" s="55" t="s">
        <v>240</v>
      </c>
      <c r="AA9" s="55" t="s">
        <v>98</v>
      </c>
      <c r="AB9" s="55" t="s">
        <v>336</v>
      </c>
      <c r="AC9" s="55" t="s">
        <v>14</v>
      </c>
      <c r="AD9" s="74" t="s">
        <v>14</v>
      </c>
    </row>
    <row r="10" spans="1:30" ht="12.75">
      <c r="A10" s="71">
        <v>9</v>
      </c>
      <c r="B10" s="74" t="s">
        <v>7</v>
      </c>
      <c r="C10" s="55" t="s">
        <v>7</v>
      </c>
      <c r="D10" s="55" t="s">
        <v>385</v>
      </c>
      <c r="E10" s="55" t="s">
        <v>7</v>
      </c>
      <c r="F10" s="55" t="s">
        <v>296</v>
      </c>
      <c r="G10" s="55" t="s">
        <v>7</v>
      </c>
      <c r="H10" s="55" t="s">
        <v>402</v>
      </c>
      <c r="I10" s="55" t="s">
        <v>155</v>
      </c>
      <c r="J10" s="55" t="s">
        <v>216</v>
      </c>
      <c r="K10" s="55" t="s">
        <v>203</v>
      </c>
      <c r="L10" s="55" t="s">
        <v>256</v>
      </c>
      <c r="M10" s="55" t="s">
        <v>70</v>
      </c>
      <c r="N10" s="55" t="s">
        <v>84</v>
      </c>
      <c r="O10" s="55" t="s">
        <v>313</v>
      </c>
      <c r="P10" s="55" t="s">
        <v>181</v>
      </c>
      <c r="Q10" s="55" t="s">
        <v>7</v>
      </c>
      <c r="R10" s="55" t="s">
        <v>155</v>
      </c>
      <c r="S10" s="55" t="s">
        <v>7</v>
      </c>
      <c r="T10" s="55" t="s">
        <v>155</v>
      </c>
      <c r="U10" s="55" t="s">
        <v>7</v>
      </c>
      <c r="V10" s="55" t="s">
        <v>123</v>
      </c>
      <c r="W10" s="55" t="s">
        <v>7</v>
      </c>
      <c r="X10" s="55" t="s">
        <v>296</v>
      </c>
      <c r="Y10" s="55" t="s">
        <v>271</v>
      </c>
      <c r="Z10" s="55" t="s">
        <v>241</v>
      </c>
      <c r="AA10" s="55" t="s">
        <v>7</v>
      </c>
      <c r="AB10" s="55" t="s">
        <v>337</v>
      </c>
      <c r="AC10" s="55" t="s">
        <v>363</v>
      </c>
      <c r="AD10" s="74" t="s">
        <v>7</v>
      </c>
    </row>
    <row r="11" spans="1:30" ht="12.75">
      <c r="A11" s="71">
        <v>10</v>
      </c>
      <c r="B11" s="74" t="s">
        <v>15</v>
      </c>
      <c r="C11" s="55" t="s">
        <v>48</v>
      </c>
      <c r="D11" s="55" t="s">
        <v>386</v>
      </c>
      <c r="E11" s="55" t="s">
        <v>373</v>
      </c>
      <c r="F11" s="55" t="s">
        <v>297</v>
      </c>
      <c r="G11" s="55" t="s">
        <v>169</v>
      </c>
      <c r="H11" s="55" t="s">
        <v>403</v>
      </c>
      <c r="I11" s="55" t="s">
        <v>156</v>
      </c>
      <c r="J11" s="55" t="s">
        <v>85</v>
      </c>
      <c r="K11" s="55" t="s">
        <v>204</v>
      </c>
      <c r="L11" s="55" t="s">
        <v>48</v>
      </c>
      <c r="M11" s="55" t="s">
        <v>71</v>
      </c>
      <c r="N11" s="55" t="s">
        <v>85</v>
      </c>
      <c r="O11" s="55" t="s">
        <v>314</v>
      </c>
      <c r="P11" s="55" t="s">
        <v>182</v>
      </c>
      <c r="Q11" s="55" t="s">
        <v>48</v>
      </c>
      <c r="R11" s="55" t="s">
        <v>156</v>
      </c>
      <c r="S11" s="55" t="s">
        <v>373</v>
      </c>
      <c r="T11" s="55" t="s">
        <v>227</v>
      </c>
      <c r="U11" s="55" t="s">
        <v>138</v>
      </c>
      <c r="V11" s="55" t="s">
        <v>124</v>
      </c>
      <c r="W11" s="55" t="s">
        <v>48</v>
      </c>
      <c r="X11" s="55" t="s">
        <v>297</v>
      </c>
      <c r="Y11" s="55" t="s">
        <v>272</v>
      </c>
      <c r="Z11" s="55" t="s">
        <v>156</v>
      </c>
      <c r="AA11" s="55" t="s">
        <v>48</v>
      </c>
      <c r="AB11" s="55" t="s">
        <v>338</v>
      </c>
      <c r="AC11" s="55" t="s">
        <v>48</v>
      </c>
      <c r="AD11" s="74" t="s">
        <v>15</v>
      </c>
    </row>
    <row r="12" spans="1:30" ht="12.75">
      <c r="A12" s="71">
        <v>11</v>
      </c>
      <c r="B12" s="74" t="s">
        <v>10</v>
      </c>
      <c r="C12" s="55" t="s">
        <v>99</v>
      </c>
      <c r="D12" s="55" t="s">
        <v>387</v>
      </c>
      <c r="E12" s="55" t="s">
        <v>47</v>
      </c>
      <c r="F12" s="55" t="s">
        <v>298</v>
      </c>
      <c r="G12" s="55" t="s">
        <v>99</v>
      </c>
      <c r="H12" s="55" t="s">
        <v>404</v>
      </c>
      <c r="I12" s="55" t="s">
        <v>242</v>
      </c>
      <c r="J12" s="55" t="s">
        <v>217</v>
      </c>
      <c r="K12" s="55" t="s">
        <v>205</v>
      </c>
      <c r="L12" s="55" t="s">
        <v>257</v>
      </c>
      <c r="M12" s="55" t="s">
        <v>72</v>
      </c>
      <c r="N12" s="55" t="s">
        <v>86</v>
      </c>
      <c r="O12" s="55" t="s">
        <v>315</v>
      </c>
      <c r="P12" s="55" t="s">
        <v>183</v>
      </c>
      <c r="Q12" s="55" t="s">
        <v>113</v>
      </c>
      <c r="R12" s="55" t="s">
        <v>157</v>
      </c>
      <c r="S12" s="55" t="s">
        <v>47</v>
      </c>
      <c r="T12" s="55" t="s">
        <v>113</v>
      </c>
      <c r="U12" s="55" t="s">
        <v>139</v>
      </c>
      <c r="V12" s="55" t="s">
        <v>99</v>
      </c>
      <c r="W12" s="55" t="s">
        <v>113</v>
      </c>
      <c r="X12" s="55" t="s">
        <v>325</v>
      </c>
      <c r="Y12" s="55" t="s">
        <v>273</v>
      </c>
      <c r="Z12" s="55" t="s">
        <v>242</v>
      </c>
      <c r="AA12" s="55" t="s">
        <v>99</v>
      </c>
      <c r="AB12" s="55" t="s">
        <v>339</v>
      </c>
      <c r="AC12" s="55" t="s">
        <v>364</v>
      </c>
      <c r="AD12" s="74" t="s">
        <v>10</v>
      </c>
    </row>
    <row r="13" spans="1:30" ht="12.75">
      <c r="A13" s="71">
        <v>12</v>
      </c>
      <c r="B13" s="74" t="s">
        <v>9</v>
      </c>
      <c r="C13" s="55" t="s">
        <v>49</v>
      </c>
      <c r="D13" s="55" t="s">
        <v>388</v>
      </c>
      <c r="E13" s="55" t="s">
        <v>9</v>
      </c>
      <c r="F13" s="55" t="s">
        <v>299</v>
      </c>
      <c r="G13" s="55" t="s">
        <v>49</v>
      </c>
      <c r="H13" s="55" t="s">
        <v>405</v>
      </c>
      <c r="I13" s="55" t="s">
        <v>352</v>
      </c>
      <c r="J13" s="55" t="s">
        <v>218</v>
      </c>
      <c r="K13" s="55" t="s">
        <v>206</v>
      </c>
      <c r="L13" s="55" t="s">
        <v>9</v>
      </c>
      <c r="M13" s="55" t="s">
        <v>73</v>
      </c>
      <c r="N13" s="55" t="s">
        <v>87</v>
      </c>
      <c r="O13" s="55" t="s">
        <v>316</v>
      </c>
      <c r="P13" s="55" t="s">
        <v>184</v>
      </c>
      <c r="Q13" s="55" t="s">
        <v>9</v>
      </c>
      <c r="R13" s="55" t="s">
        <v>158</v>
      </c>
      <c r="S13" s="55" t="s">
        <v>9</v>
      </c>
      <c r="T13" s="55" t="s">
        <v>228</v>
      </c>
      <c r="U13" s="55" t="s">
        <v>140</v>
      </c>
      <c r="V13" s="55" t="s">
        <v>125</v>
      </c>
      <c r="W13" s="55" t="s">
        <v>9</v>
      </c>
      <c r="X13" s="55" t="s">
        <v>326</v>
      </c>
      <c r="Y13" s="55" t="s">
        <v>274</v>
      </c>
      <c r="Z13" s="55" t="s">
        <v>243</v>
      </c>
      <c r="AA13" s="55" t="s">
        <v>100</v>
      </c>
      <c r="AB13" s="55" t="s">
        <v>340</v>
      </c>
      <c r="AC13" s="55" t="s">
        <v>365</v>
      </c>
      <c r="AD13" s="74" t="s">
        <v>9</v>
      </c>
    </row>
    <row r="14" spans="1:30" ht="12.75">
      <c r="A14" s="71">
        <v>13</v>
      </c>
      <c r="B14" s="74" t="s">
        <v>19</v>
      </c>
      <c r="C14" s="55" t="s">
        <v>286</v>
      </c>
      <c r="D14" s="55" t="s">
        <v>389</v>
      </c>
      <c r="E14" s="55" t="s">
        <v>50</v>
      </c>
      <c r="F14" s="55" t="s">
        <v>300</v>
      </c>
      <c r="G14" s="55" t="s">
        <v>126</v>
      </c>
      <c r="H14" s="55" t="s">
        <v>406</v>
      </c>
      <c r="I14" s="55" t="s">
        <v>353</v>
      </c>
      <c r="J14" s="55" t="s">
        <v>219</v>
      </c>
      <c r="K14" s="55" t="s">
        <v>207</v>
      </c>
      <c r="L14" s="55" t="s">
        <v>258</v>
      </c>
      <c r="M14" s="55" t="s">
        <v>19</v>
      </c>
      <c r="N14" s="55" t="s">
        <v>88</v>
      </c>
      <c r="O14" s="55" t="s">
        <v>317</v>
      </c>
      <c r="P14" s="55" t="s">
        <v>185</v>
      </c>
      <c r="Q14" s="55" t="s">
        <v>101</v>
      </c>
      <c r="R14" s="55" t="s">
        <v>159</v>
      </c>
      <c r="S14" s="55" t="s">
        <v>50</v>
      </c>
      <c r="T14" s="55" t="s">
        <v>229</v>
      </c>
      <c r="U14" s="55" t="s">
        <v>141</v>
      </c>
      <c r="V14" s="55" t="s">
        <v>126</v>
      </c>
      <c r="W14" s="55" t="s">
        <v>194</v>
      </c>
      <c r="X14" s="55" t="s">
        <v>300</v>
      </c>
      <c r="Y14" s="55" t="s">
        <v>275</v>
      </c>
      <c r="Z14" s="55" t="s">
        <v>244</v>
      </c>
      <c r="AA14" s="55" t="s">
        <v>101</v>
      </c>
      <c r="AB14" s="55" t="s">
        <v>341</v>
      </c>
      <c r="AC14" s="55" t="s">
        <v>366</v>
      </c>
      <c r="AD14" s="74" t="s">
        <v>19</v>
      </c>
    </row>
    <row r="15" spans="1:30" ht="12.75">
      <c r="A15" s="71">
        <v>14</v>
      </c>
      <c r="B15" s="74" t="s">
        <v>16</v>
      </c>
      <c r="C15" s="55" t="s">
        <v>195</v>
      </c>
      <c r="D15" s="55" t="s">
        <v>390</v>
      </c>
      <c r="E15" s="55" t="s">
        <v>51</v>
      </c>
      <c r="F15" s="55" t="s">
        <v>301</v>
      </c>
      <c r="G15" s="55" t="s">
        <v>170</v>
      </c>
      <c r="H15" s="55" t="s">
        <v>407</v>
      </c>
      <c r="I15" s="55" t="s">
        <v>245</v>
      </c>
      <c r="J15" s="55" t="s">
        <v>220</v>
      </c>
      <c r="K15" s="55" t="s">
        <v>208</v>
      </c>
      <c r="L15" s="55" t="s">
        <v>259</v>
      </c>
      <c r="M15" s="55" t="s">
        <v>74</v>
      </c>
      <c r="N15" s="55" t="s">
        <v>89</v>
      </c>
      <c r="O15" s="55" t="s">
        <v>318</v>
      </c>
      <c r="P15" s="55" t="s">
        <v>186</v>
      </c>
      <c r="Q15" s="55" t="s">
        <v>114</v>
      </c>
      <c r="R15" s="55" t="s">
        <v>160</v>
      </c>
      <c r="S15" s="55" t="s">
        <v>16</v>
      </c>
      <c r="T15" s="55" t="s">
        <v>230</v>
      </c>
      <c r="U15" s="55" t="s">
        <v>142</v>
      </c>
      <c r="V15" s="55" t="s">
        <v>127</v>
      </c>
      <c r="W15" s="55" t="s">
        <v>195</v>
      </c>
      <c r="X15" s="55" t="s">
        <v>301</v>
      </c>
      <c r="Y15" s="55" t="s">
        <v>276</v>
      </c>
      <c r="Z15" s="55" t="s">
        <v>245</v>
      </c>
      <c r="AA15" s="55" t="s">
        <v>102</v>
      </c>
      <c r="AB15" s="55" t="s">
        <v>342</v>
      </c>
      <c r="AC15" s="55" t="s">
        <v>367</v>
      </c>
      <c r="AD15" s="74" t="s">
        <v>16</v>
      </c>
    </row>
    <row r="16" spans="1:30" ht="12.75">
      <c r="A16" s="71">
        <v>15</v>
      </c>
      <c r="B16" s="74" t="s">
        <v>12</v>
      </c>
      <c r="C16" s="55" t="s">
        <v>287</v>
      </c>
      <c r="D16" s="55" t="s">
        <v>391</v>
      </c>
      <c r="E16" s="55" t="s">
        <v>53</v>
      </c>
      <c r="F16" s="55" t="s">
        <v>302</v>
      </c>
      <c r="G16" s="55" t="s">
        <v>171</v>
      </c>
      <c r="H16" s="55" t="s">
        <v>408</v>
      </c>
      <c r="I16" s="55" t="s">
        <v>354</v>
      </c>
      <c r="J16" s="55" t="s">
        <v>221</v>
      </c>
      <c r="K16" s="55" t="s">
        <v>209</v>
      </c>
      <c r="L16" s="55" t="s">
        <v>260</v>
      </c>
      <c r="M16" s="55" t="s">
        <v>75</v>
      </c>
      <c r="N16" s="55" t="s">
        <v>90</v>
      </c>
      <c r="O16" s="55" t="s">
        <v>319</v>
      </c>
      <c r="P16" s="55" t="s">
        <v>187</v>
      </c>
      <c r="Q16" s="55" t="s">
        <v>103</v>
      </c>
      <c r="R16" s="55" t="s">
        <v>161</v>
      </c>
      <c r="S16" s="55" t="s">
        <v>12</v>
      </c>
      <c r="T16" s="55" t="s">
        <v>231</v>
      </c>
      <c r="U16" s="55" t="s">
        <v>143</v>
      </c>
      <c r="V16" s="55" t="s">
        <v>128</v>
      </c>
      <c r="W16" s="55" t="s">
        <v>103</v>
      </c>
      <c r="X16" s="55" t="s">
        <v>327</v>
      </c>
      <c r="Y16" s="55" t="s">
        <v>277</v>
      </c>
      <c r="Z16" s="55" t="s">
        <v>246</v>
      </c>
      <c r="AA16" s="55" t="s">
        <v>103</v>
      </c>
      <c r="AB16" s="55" t="s">
        <v>343</v>
      </c>
      <c r="AC16" s="55" t="s">
        <v>368</v>
      </c>
      <c r="AD16" s="74" t="s">
        <v>12</v>
      </c>
    </row>
    <row r="17" spans="1:30" ht="12.75">
      <c r="A17" s="71">
        <v>16</v>
      </c>
      <c r="B17" s="74" t="s">
        <v>20</v>
      </c>
      <c r="C17" s="55" t="s">
        <v>54</v>
      </c>
      <c r="D17" s="55" t="s">
        <v>392</v>
      </c>
      <c r="E17" s="55" t="s">
        <v>54</v>
      </c>
      <c r="F17" s="55" t="s">
        <v>303</v>
      </c>
      <c r="G17" s="55" t="s">
        <v>129</v>
      </c>
      <c r="H17" s="55" t="s">
        <v>409</v>
      </c>
      <c r="I17" s="55" t="s">
        <v>162</v>
      </c>
      <c r="J17" s="55" t="s">
        <v>210</v>
      </c>
      <c r="K17" s="55" t="s">
        <v>210</v>
      </c>
      <c r="L17" s="55" t="s">
        <v>261</v>
      </c>
      <c r="M17" s="55" t="s">
        <v>76</v>
      </c>
      <c r="N17" s="55" t="s">
        <v>91</v>
      </c>
      <c r="O17" s="55" t="s">
        <v>320</v>
      </c>
      <c r="P17" s="55" t="s">
        <v>188</v>
      </c>
      <c r="Q17" s="55" t="s">
        <v>20</v>
      </c>
      <c r="R17" s="55" t="s">
        <v>162</v>
      </c>
      <c r="S17" s="55" t="s">
        <v>54</v>
      </c>
      <c r="T17" s="55" t="s">
        <v>232</v>
      </c>
      <c r="U17" s="55" t="s">
        <v>144</v>
      </c>
      <c r="V17" s="55" t="s">
        <v>129</v>
      </c>
      <c r="W17" s="55" t="s">
        <v>54</v>
      </c>
      <c r="X17" s="55" t="s">
        <v>328</v>
      </c>
      <c r="Y17" s="55" t="s">
        <v>278</v>
      </c>
      <c r="Z17" s="55" t="s">
        <v>162</v>
      </c>
      <c r="AA17" s="55" t="s">
        <v>54</v>
      </c>
      <c r="AB17" s="55" t="s">
        <v>344</v>
      </c>
      <c r="AC17" s="55" t="s">
        <v>369</v>
      </c>
      <c r="AD17" s="74" t="s">
        <v>20</v>
      </c>
    </row>
    <row r="18" spans="1:30" ht="12.75">
      <c r="A18" s="71">
        <v>17</v>
      </c>
      <c r="B18" s="74" t="s">
        <v>11</v>
      </c>
      <c r="C18" s="55" t="s">
        <v>233</v>
      </c>
      <c r="D18" s="55" t="s">
        <v>393</v>
      </c>
      <c r="E18" s="55" t="s">
        <v>52</v>
      </c>
      <c r="F18" s="55" t="s">
        <v>304</v>
      </c>
      <c r="G18" s="55" t="s">
        <v>172</v>
      </c>
      <c r="H18" s="55" t="s">
        <v>410</v>
      </c>
      <c r="I18" s="55" t="s">
        <v>355</v>
      </c>
      <c r="J18" s="55" t="s">
        <v>92</v>
      </c>
      <c r="K18" s="55" t="s">
        <v>211</v>
      </c>
      <c r="L18" s="55" t="s">
        <v>262</v>
      </c>
      <c r="M18" s="55" t="s">
        <v>77</v>
      </c>
      <c r="N18" s="55" t="s">
        <v>92</v>
      </c>
      <c r="O18" s="55" t="s">
        <v>321</v>
      </c>
      <c r="P18" s="55" t="s">
        <v>189</v>
      </c>
      <c r="Q18" s="55" t="s">
        <v>115</v>
      </c>
      <c r="R18" s="55" t="s">
        <v>163</v>
      </c>
      <c r="S18" s="55" t="s">
        <v>376</v>
      </c>
      <c r="T18" s="55" t="s">
        <v>233</v>
      </c>
      <c r="U18" s="55" t="s">
        <v>145</v>
      </c>
      <c r="V18" s="55" t="s">
        <v>130</v>
      </c>
      <c r="W18" s="55" t="s">
        <v>196</v>
      </c>
      <c r="X18" s="55" t="s">
        <v>304</v>
      </c>
      <c r="Y18" s="55" t="s">
        <v>279</v>
      </c>
      <c r="Z18" s="55" t="s">
        <v>247</v>
      </c>
      <c r="AA18" s="55" t="s">
        <v>104</v>
      </c>
      <c r="AB18" s="55" t="s">
        <v>345</v>
      </c>
      <c r="AC18" s="55" t="s">
        <v>370</v>
      </c>
      <c r="AD18" s="74" t="s">
        <v>11</v>
      </c>
    </row>
    <row r="19" ht="12.75">
      <c r="B19" s="74"/>
    </row>
    <row r="20" spans="2:7" ht="12.75">
      <c r="B20" s="74"/>
      <c r="G20" s="74"/>
    </row>
    <row r="21" spans="2:7" ht="12.75">
      <c r="B21" s="74"/>
      <c r="G21" s="74"/>
    </row>
    <row r="22" spans="2:7" ht="12.75">
      <c r="B22" s="74"/>
      <c r="G22" s="74"/>
    </row>
    <row r="23" spans="2:7" ht="12.75">
      <c r="B23" s="74"/>
      <c r="G23" s="74"/>
    </row>
    <row r="24" spans="2:7" ht="12.75">
      <c r="B24" s="74"/>
      <c r="G24" s="74"/>
    </row>
    <row r="25" spans="2:7" ht="12.75">
      <c r="B25" s="74"/>
      <c r="G25" s="74"/>
    </row>
    <row r="26" spans="2:7" ht="12.75">
      <c r="B26" s="74"/>
      <c r="G26" s="74"/>
    </row>
    <row r="27" spans="2:7" ht="12.75">
      <c r="B27" s="74"/>
      <c r="G27" s="74"/>
    </row>
    <row r="28" spans="2:7" ht="12.75">
      <c r="B28" s="74"/>
      <c r="G28" s="74"/>
    </row>
    <row r="29" spans="2:7" ht="12.75">
      <c r="B29" s="74"/>
      <c r="G29" s="74"/>
    </row>
    <row r="30" spans="2:7" ht="12.75">
      <c r="B30" s="74"/>
      <c r="G30" s="74"/>
    </row>
    <row r="31" spans="2:7" ht="12.75">
      <c r="B31" s="74"/>
      <c r="G31" s="74"/>
    </row>
    <row r="32" spans="2:7" ht="12.75">
      <c r="B32" s="74"/>
      <c r="G32" s="74"/>
    </row>
    <row r="33" spans="2:7" ht="12.75">
      <c r="B33" s="74"/>
      <c r="G33" s="74"/>
    </row>
    <row r="34" spans="2:7" ht="12.75">
      <c r="B34" s="74"/>
      <c r="G34" s="74"/>
    </row>
    <row r="35" spans="2:7" ht="12.75">
      <c r="B35" s="74"/>
      <c r="G35" s="74"/>
    </row>
    <row r="36" ht="12.75">
      <c r="B36" s="74"/>
    </row>
    <row r="37" ht="12.75">
      <c r="B37" s="74"/>
    </row>
    <row r="38" ht="12.75">
      <c r="B38" s="74"/>
    </row>
    <row r="39" ht="12.75">
      <c r="B39" s="74"/>
    </row>
    <row r="40" ht="12.75">
      <c r="B40" s="74"/>
    </row>
    <row r="41" ht="12.75">
      <c r="B41" s="74"/>
    </row>
    <row r="42" ht="12.75">
      <c r="B42" s="74"/>
    </row>
    <row r="43" ht="12.75">
      <c r="B43" s="74"/>
    </row>
    <row r="44" ht="12.75">
      <c r="B44" s="74"/>
    </row>
    <row r="45" ht="12.75">
      <c r="B45" s="74"/>
    </row>
    <row r="46" ht="12.75">
      <c r="B46" s="74"/>
    </row>
    <row r="47" ht="12.75">
      <c r="B47" s="74"/>
    </row>
    <row r="48" ht="12.75">
      <c r="B48" s="74"/>
    </row>
    <row r="49" ht="12.75">
      <c r="B49" s="74"/>
    </row>
    <row r="50" ht="12.75">
      <c r="B50" s="74"/>
    </row>
    <row r="51" ht="12.75">
      <c r="B51" s="74"/>
    </row>
    <row r="52" ht="12.75">
      <c r="B52" s="74"/>
    </row>
    <row r="53" ht="12.75">
      <c r="B53" s="74"/>
    </row>
    <row r="54" ht="12.75">
      <c r="B54" s="74"/>
    </row>
    <row r="55" ht="12.75">
      <c r="B55" s="74"/>
    </row>
    <row r="56" ht="12.75">
      <c r="B56" s="74"/>
    </row>
    <row r="57" ht="12.75">
      <c r="B57" s="74"/>
    </row>
    <row r="58" ht="12.75">
      <c r="B58" s="74"/>
    </row>
    <row r="59" ht="12.75">
      <c r="B59" s="74"/>
    </row>
  </sheetData>
  <sheetProtection password="ECEE" sheet="1" objects="1" scenarios="1"/>
  <conditionalFormatting sqref="C3:AC4 C7:AC8 C11:AC12 C15:AC16">
    <cfRule type="expression" priority="1" dxfId="1" stopIfTrue="1">
      <formula>IF($J3=$AA3,1,0)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0"/>
  <sheetViews>
    <sheetView showGridLines="0" workbookViewId="0" topLeftCell="A1">
      <selection activeCell="J15" sqref="J15"/>
    </sheetView>
  </sheetViews>
  <sheetFormatPr defaultColWidth="9.140625" defaultRowHeight="12.75"/>
  <cols>
    <col min="1" max="1" width="4.00390625" style="75" bestFit="1" customWidth="1"/>
    <col min="2" max="2" width="14.7109375" style="75" bestFit="1" customWidth="1"/>
    <col min="3" max="3" width="9.140625" style="83" customWidth="1"/>
    <col min="4" max="4" width="11.8515625" style="75" bestFit="1" customWidth="1"/>
    <col min="5" max="8" width="9.140625" style="75" customWidth="1"/>
    <col min="9" max="9" width="15.57421875" style="75" customWidth="1"/>
    <col min="10" max="10" width="12.28125" style="75" bestFit="1" customWidth="1"/>
    <col min="11" max="16384" width="9.140625" style="75" customWidth="1"/>
  </cols>
  <sheetData>
    <row r="2" spans="1:14" ht="12.75">
      <c r="A2" s="75">
        <v>1</v>
      </c>
      <c r="B2" s="27" t="s">
        <v>428</v>
      </c>
      <c r="C2" s="27">
        <v>1</v>
      </c>
      <c r="D2" s="76">
        <v>0.041666666666666664</v>
      </c>
      <c r="E2" s="77">
        <f>INDEX(B1:C140,SUMIF('Row and Column'!G5:G144,'Euro 2008 Schedule'!I4,'Row and Column'!H5:H144),2)</f>
        <v>0</v>
      </c>
      <c r="F2" s="78">
        <f>INDEX(B1:D140,SUMIF('Row and Column'!G5:G144,'Euro 2008 Schedule'!I4,'Row and Column'!H5:H144),3)</f>
        <v>0</v>
      </c>
      <c r="G2" s="79">
        <v>1</v>
      </c>
      <c r="H2" s="80">
        <v>39606</v>
      </c>
      <c r="I2" s="56">
        <v>39606.75</v>
      </c>
      <c r="J2" s="81">
        <f>IF(E$2&gt;0,I2+F$2,I2-F$2)</f>
        <v>39606.75</v>
      </c>
      <c r="K2" s="56"/>
      <c r="M2" s="27"/>
      <c r="N2" s="76"/>
    </row>
    <row r="3" spans="1:14" ht="12.75">
      <c r="A3" s="75">
        <v>2</v>
      </c>
      <c r="B3" s="27" t="s">
        <v>429</v>
      </c>
      <c r="C3" s="27">
        <v>7.5</v>
      </c>
      <c r="D3" s="76">
        <v>0.3125</v>
      </c>
      <c r="E3" s="77">
        <f>SUMIF('Row and Column'!G5:G144,'Euro 2008 Schedule'!I4,'Row and Column'!H5:H144)</f>
        <v>133</v>
      </c>
      <c r="G3" s="79">
        <v>2</v>
      </c>
      <c r="H3" s="80">
        <v>39606</v>
      </c>
      <c r="I3" s="56">
        <v>39606.864583333336</v>
      </c>
      <c r="J3" s="81">
        <f aca="true" t="shared" si="0" ref="J3:J32">IF(E$2&gt;0,I3+F$2,I3-F$2)</f>
        <v>39606.864583333336</v>
      </c>
      <c r="M3" s="27"/>
      <c r="N3" s="76"/>
    </row>
    <row r="4" spans="1:14" ht="12.75">
      <c r="A4" s="75">
        <v>3</v>
      </c>
      <c r="B4" s="27" t="s">
        <v>430</v>
      </c>
      <c r="C4" s="27">
        <v>1</v>
      </c>
      <c r="D4" s="76">
        <v>0.041666666666666664</v>
      </c>
      <c r="G4" s="79">
        <v>3</v>
      </c>
      <c r="H4" s="80">
        <v>39607</v>
      </c>
      <c r="I4" s="56">
        <v>39607.75</v>
      </c>
      <c r="J4" s="81">
        <f t="shared" si="0"/>
        <v>39607.75</v>
      </c>
      <c r="M4" s="27"/>
      <c r="N4" s="76"/>
    </row>
    <row r="5" spans="1:14" ht="12.75">
      <c r="A5" s="75">
        <v>4</v>
      </c>
      <c r="B5" s="27" t="s">
        <v>431</v>
      </c>
      <c r="C5" s="27">
        <v>-1</v>
      </c>
      <c r="D5" s="76">
        <v>0.041666666666666664</v>
      </c>
      <c r="G5" s="79">
        <v>4</v>
      </c>
      <c r="H5" s="80">
        <v>39607</v>
      </c>
      <c r="I5" s="56">
        <v>39607.864583333336</v>
      </c>
      <c r="J5" s="81">
        <f t="shared" si="0"/>
        <v>39607.864583333336</v>
      </c>
      <c r="M5" s="27"/>
      <c r="N5" s="76"/>
    </row>
    <row r="6" spans="1:14" ht="12.75">
      <c r="A6" s="75">
        <v>5</v>
      </c>
      <c r="B6" s="27" t="s">
        <v>432</v>
      </c>
      <c r="C6" s="27">
        <v>4</v>
      </c>
      <c r="D6" s="76">
        <v>0.16666666666666666</v>
      </c>
      <c r="G6" s="79">
        <v>5</v>
      </c>
      <c r="H6" s="80">
        <v>39608</v>
      </c>
      <c r="I6" s="56">
        <v>39608.75</v>
      </c>
      <c r="J6" s="81">
        <f t="shared" si="0"/>
        <v>39608.75</v>
      </c>
      <c r="M6" s="27"/>
      <c r="N6" s="76"/>
    </row>
    <row r="7" spans="1:14" ht="12.75">
      <c r="A7" s="75">
        <v>6</v>
      </c>
      <c r="B7" s="27" t="s">
        <v>433</v>
      </c>
      <c r="C7" s="27">
        <v>1</v>
      </c>
      <c r="D7" s="76">
        <v>0.041666666666666664</v>
      </c>
      <c r="G7" s="79">
        <v>6</v>
      </c>
      <c r="H7" s="80">
        <v>39608</v>
      </c>
      <c r="I7" s="56">
        <v>39608.864583333336</v>
      </c>
      <c r="J7" s="81">
        <f t="shared" si="0"/>
        <v>39608.864583333336</v>
      </c>
      <c r="M7" s="27"/>
      <c r="N7" s="76"/>
    </row>
    <row r="8" spans="1:14" ht="12.75">
      <c r="A8" s="75">
        <v>7</v>
      </c>
      <c r="B8" s="27" t="s">
        <v>434</v>
      </c>
      <c r="C8" s="27">
        <v>0</v>
      </c>
      <c r="D8" s="76">
        <v>0</v>
      </c>
      <c r="G8" s="79">
        <v>7</v>
      </c>
      <c r="H8" s="80">
        <v>39609</v>
      </c>
      <c r="I8" s="56">
        <v>39609.75</v>
      </c>
      <c r="J8" s="81">
        <f t="shared" si="0"/>
        <v>39609.75</v>
      </c>
      <c r="M8" s="27"/>
      <c r="N8" s="76"/>
    </row>
    <row r="9" spans="1:14" ht="12.75">
      <c r="A9" s="75">
        <v>8</v>
      </c>
      <c r="B9" s="27" t="s">
        <v>435</v>
      </c>
      <c r="C9" s="27">
        <v>11</v>
      </c>
      <c r="D9" s="76">
        <v>0.4583333333333333</v>
      </c>
      <c r="G9" s="79">
        <v>8</v>
      </c>
      <c r="H9" s="80">
        <v>39609</v>
      </c>
      <c r="I9" s="56">
        <v>39609.864583333336</v>
      </c>
      <c r="J9" s="81">
        <f t="shared" si="0"/>
        <v>39609.864583333336</v>
      </c>
      <c r="M9" s="27"/>
      <c r="N9" s="76"/>
    </row>
    <row r="10" spans="1:14" ht="12.75">
      <c r="A10" s="75">
        <v>9</v>
      </c>
      <c r="B10" s="27" t="s">
        <v>436</v>
      </c>
      <c r="C10" s="82">
        <v>-10</v>
      </c>
      <c r="D10" s="76">
        <v>0.4166666666666667</v>
      </c>
      <c r="G10" s="79">
        <v>9</v>
      </c>
      <c r="H10" s="80">
        <v>39610</v>
      </c>
      <c r="I10" s="56">
        <v>39610.75</v>
      </c>
      <c r="J10" s="81">
        <f t="shared" si="0"/>
        <v>39610.75</v>
      </c>
      <c r="M10" s="82"/>
      <c r="N10" s="76"/>
    </row>
    <row r="11" spans="1:14" ht="12.75">
      <c r="A11" s="75">
        <v>10</v>
      </c>
      <c r="B11" s="27" t="s">
        <v>437</v>
      </c>
      <c r="C11" s="27">
        <v>1</v>
      </c>
      <c r="D11" s="76">
        <v>0.041666666666666664</v>
      </c>
      <c r="G11" s="79">
        <v>10</v>
      </c>
      <c r="H11" s="80">
        <v>39610</v>
      </c>
      <c r="I11" s="56">
        <v>39610.864583333336</v>
      </c>
      <c r="J11" s="81">
        <f t="shared" si="0"/>
        <v>39610.864583333336</v>
      </c>
      <c r="M11" s="27"/>
      <c r="N11" s="76"/>
    </row>
    <row r="12" spans="1:14" ht="12.75">
      <c r="A12" s="75">
        <v>11</v>
      </c>
      <c r="B12" s="27" t="s">
        <v>438</v>
      </c>
      <c r="C12" s="27">
        <v>1</v>
      </c>
      <c r="D12" s="76">
        <v>0.041666666666666664</v>
      </c>
      <c r="G12" s="79">
        <v>11</v>
      </c>
      <c r="H12" s="80">
        <v>39611</v>
      </c>
      <c r="I12" s="56">
        <v>39611.75</v>
      </c>
      <c r="J12" s="81">
        <f t="shared" si="0"/>
        <v>39611.75</v>
      </c>
      <c r="M12" s="27"/>
      <c r="N12" s="76"/>
    </row>
    <row r="13" spans="1:14" ht="12.75">
      <c r="A13" s="75">
        <v>12</v>
      </c>
      <c r="B13" s="27" t="s">
        <v>439</v>
      </c>
      <c r="C13" s="27">
        <v>-6</v>
      </c>
      <c r="D13" s="76">
        <v>0.25</v>
      </c>
      <c r="G13" s="79">
        <v>12</v>
      </c>
      <c r="H13" s="80">
        <v>39611</v>
      </c>
      <c r="I13" s="56">
        <v>39611.864583333336</v>
      </c>
      <c r="J13" s="81">
        <f t="shared" si="0"/>
        <v>39611.864583333336</v>
      </c>
      <c r="M13" s="27"/>
      <c r="N13" s="76"/>
    </row>
    <row r="14" spans="1:14" ht="12.75">
      <c r="A14" s="75">
        <v>13</v>
      </c>
      <c r="B14" s="27" t="s">
        <v>440</v>
      </c>
      <c r="C14" s="27">
        <v>1</v>
      </c>
      <c r="D14" s="76">
        <v>0.041666666666666664</v>
      </c>
      <c r="G14" s="79">
        <v>13</v>
      </c>
      <c r="H14" s="80">
        <v>39612</v>
      </c>
      <c r="I14" s="56">
        <v>39612.75</v>
      </c>
      <c r="J14" s="81">
        <f t="shared" si="0"/>
        <v>39612.75</v>
      </c>
      <c r="M14" s="27"/>
      <c r="N14" s="76"/>
    </row>
    <row r="15" spans="1:14" ht="12.75">
      <c r="A15" s="75">
        <v>14</v>
      </c>
      <c r="B15" s="27" t="s">
        <v>441</v>
      </c>
      <c r="C15" s="27">
        <v>-6</v>
      </c>
      <c r="D15" s="76">
        <v>0.25</v>
      </c>
      <c r="G15" s="79">
        <v>14</v>
      </c>
      <c r="H15" s="80">
        <v>39612</v>
      </c>
      <c r="I15" s="56">
        <v>39612.864583333336</v>
      </c>
      <c r="J15" s="81">
        <f t="shared" si="0"/>
        <v>39612.864583333336</v>
      </c>
      <c r="M15" s="27"/>
      <c r="N15" s="76"/>
    </row>
    <row r="16" spans="1:14" ht="12.75">
      <c r="A16" s="75">
        <v>15</v>
      </c>
      <c r="B16" s="27" t="s">
        <v>442</v>
      </c>
      <c r="C16" s="27">
        <v>10</v>
      </c>
      <c r="D16" s="76">
        <v>0.4166666666666667</v>
      </c>
      <c r="G16" s="79">
        <v>15</v>
      </c>
      <c r="H16" s="80">
        <v>39613</v>
      </c>
      <c r="I16" s="56">
        <v>39613.75</v>
      </c>
      <c r="J16" s="81">
        <f t="shared" si="0"/>
        <v>39613.75</v>
      </c>
      <c r="M16" s="27"/>
      <c r="N16" s="76"/>
    </row>
    <row r="17" spans="1:14" ht="12.75">
      <c r="A17" s="75">
        <v>16</v>
      </c>
      <c r="B17" s="27" t="s">
        <v>443</v>
      </c>
      <c r="C17" s="27">
        <v>1</v>
      </c>
      <c r="D17" s="76">
        <v>0.041666666666666664</v>
      </c>
      <c r="G17" s="79">
        <v>16</v>
      </c>
      <c r="H17" s="80">
        <v>39613</v>
      </c>
      <c r="I17" s="56">
        <v>39613.864583333336</v>
      </c>
      <c r="J17" s="81">
        <f t="shared" si="0"/>
        <v>39613.864583333336</v>
      </c>
      <c r="M17" s="27"/>
      <c r="N17" s="76"/>
    </row>
    <row r="18" spans="1:14" ht="12.75">
      <c r="A18" s="75">
        <v>17</v>
      </c>
      <c r="B18" s="27" t="s">
        <v>444</v>
      </c>
      <c r="C18" s="27">
        <v>5</v>
      </c>
      <c r="D18" s="76">
        <v>0.20833333333333334</v>
      </c>
      <c r="G18" s="79">
        <v>17</v>
      </c>
      <c r="H18" s="80">
        <v>39614</v>
      </c>
      <c r="I18" s="56">
        <v>39614.864583333336</v>
      </c>
      <c r="J18" s="81">
        <f t="shared" si="0"/>
        <v>39614.864583333336</v>
      </c>
      <c r="M18" s="27"/>
      <c r="N18" s="76"/>
    </row>
    <row r="19" spans="1:14" ht="12.75">
      <c r="A19" s="75">
        <v>18</v>
      </c>
      <c r="B19" s="27" t="s">
        <v>445</v>
      </c>
      <c r="C19" s="27">
        <v>0</v>
      </c>
      <c r="D19" s="76">
        <v>0</v>
      </c>
      <c r="G19" s="79">
        <v>18</v>
      </c>
      <c r="H19" s="80">
        <v>39614</v>
      </c>
      <c r="I19" s="56">
        <v>39614.864583333336</v>
      </c>
      <c r="J19" s="81">
        <f t="shared" si="0"/>
        <v>39614.864583333336</v>
      </c>
      <c r="M19" s="27"/>
      <c r="N19" s="76"/>
    </row>
    <row r="20" spans="1:14" ht="12.75">
      <c r="A20" s="75">
        <v>19</v>
      </c>
      <c r="B20" s="27" t="s">
        <v>446</v>
      </c>
      <c r="C20" s="27">
        <v>6</v>
      </c>
      <c r="D20" s="76">
        <v>0.25</v>
      </c>
      <c r="G20" s="79">
        <v>19</v>
      </c>
      <c r="H20" s="80">
        <v>39615</v>
      </c>
      <c r="I20" s="56">
        <v>39615.864583333336</v>
      </c>
      <c r="J20" s="81">
        <f t="shared" si="0"/>
        <v>39615.864583333336</v>
      </c>
      <c r="M20" s="27"/>
      <c r="N20" s="76"/>
    </row>
    <row r="21" spans="1:14" ht="12.75">
      <c r="A21" s="75">
        <v>20</v>
      </c>
      <c r="B21" s="27" t="s">
        <v>447</v>
      </c>
      <c r="C21" s="27">
        <v>1</v>
      </c>
      <c r="D21" s="76">
        <v>0.041666666666666664</v>
      </c>
      <c r="G21" s="79">
        <v>20</v>
      </c>
      <c r="H21" s="80">
        <v>39615</v>
      </c>
      <c r="I21" s="56">
        <v>39615.864583333336</v>
      </c>
      <c r="J21" s="81">
        <f t="shared" si="0"/>
        <v>39615.864583333336</v>
      </c>
      <c r="M21" s="27"/>
      <c r="N21" s="76"/>
    </row>
    <row r="22" spans="1:14" ht="12.75">
      <c r="A22" s="75">
        <v>21</v>
      </c>
      <c r="B22" s="27" t="s">
        <v>448</v>
      </c>
      <c r="C22" s="27">
        <v>0</v>
      </c>
      <c r="D22" s="76">
        <v>0</v>
      </c>
      <c r="G22" s="79">
        <v>21</v>
      </c>
      <c r="H22" s="80">
        <v>39616</v>
      </c>
      <c r="I22" s="56">
        <v>39616.864583333336</v>
      </c>
      <c r="J22" s="81">
        <f t="shared" si="0"/>
        <v>39616.864583333336</v>
      </c>
      <c r="M22" s="27"/>
      <c r="N22" s="76"/>
    </row>
    <row r="23" spans="1:14" ht="12.75">
      <c r="A23" s="75">
        <v>22</v>
      </c>
      <c r="B23" s="27" t="s">
        <v>449</v>
      </c>
      <c r="C23" s="27">
        <v>0</v>
      </c>
      <c r="D23" s="76">
        <v>0</v>
      </c>
      <c r="G23" s="79">
        <v>22</v>
      </c>
      <c r="H23" s="80">
        <v>39616</v>
      </c>
      <c r="I23" s="56">
        <v>39616.864583333336</v>
      </c>
      <c r="J23" s="81">
        <f t="shared" si="0"/>
        <v>39616.864583333336</v>
      </c>
      <c r="M23" s="27"/>
      <c r="N23" s="76"/>
    </row>
    <row r="24" spans="1:14" ht="12.75">
      <c r="A24" s="75">
        <v>23</v>
      </c>
      <c r="B24" s="27" t="s">
        <v>450</v>
      </c>
      <c r="C24" s="27">
        <v>-7</v>
      </c>
      <c r="D24" s="76">
        <v>0.2916666666666667</v>
      </c>
      <c r="G24" s="79">
        <v>23</v>
      </c>
      <c r="H24" s="80">
        <v>39617</v>
      </c>
      <c r="I24" s="56">
        <v>39617.864583333336</v>
      </c>
      <c r="J24" s="81">
        <f t="shared" si="0"/>
        <v>39617.864583333336</v>
      </c>
      <c r="M24" s="27"/>
      <c r="N24" s="76"/>
    </row>
    <row r="25" spans="1:14" ht="12.75">
      <c r="A25" s="75">
        <v>24</v>
      </c>
      <c r="B25" s="27" t="s">
        <v>451</v>
      </c>
      <c r="C25" s="27">
        <v>-6</v>
      </c>
      <c r="D25" s="76">
        <v>0.25</v>
      </c>
      <c r="G25" s="79">
        <v>24</v>
      </c>
      <c r="H25" s="80">
        <v>39617</v>
      </c>
      <c r="I25" s="56">
        <v>39617.864583333336</v>
      </c>
      <c r="J25" s="81">
        <f t="shared" si="0"/>
        <v>39617.864583333336</v>
      </c>
      <c r="M25" s="27"/>
      <c r="N25" s="76"/>
    </row>
    <row r="26" spans="1:14" ht="12.75">
      <c r="A26" s="75">
        <v>25</v>
      </c>
      <c r="B26" s="27" t="s">
        <v>452</v>
      </c>
      <c r="C26" s="27">
        <v>-5</v>
      </c>
      <c r="D26" s="76">
        <v>0.20833333333333334</v>
      </c>
      <c r="G26" s="79">
        <v>25</v>
      </c>
      <c r="H26" s="57" t="s">
        <v>413</v>
      </c>
      <c r="I26" s="56">
        <v>39618.864583333336</v>
      </c>
      <c r="J26" s="81">
        <f t="shared" si="0"/>
        <v>39618.864583333336</v>
      </c>
      <c r="M26" s="27"/>
      <c r="N26" s="76"/>
    </row>
    <row r="27" spans="1:14" ht="12.75">
      <c r="A27" s="75">
        <v>26</v>
      </c>
      <c r="B27" s="27" t="s">
        <v>453</v>
      </c>
      <c r="C27" s="27">
        <v>8</v>
      </c>
      <c r="D27" s="76">
        <v>0.3333333333333333</v>
      </c>
      <c r="G27" s="79">
        <v>26</v>
      </c>
      <c r="H27" s="57" t="s">
        <v>414</v>
      </c>
      <c r="I27" s="56">
        <v>39619.864583333336</v>
      </c>
      <c r="J27" s="81">
        <f t="shared" si="0"/>
        <v>39619.864583333336</v>
      </c>
      <c r="M27" s="27"/>
      <c r="N27" s="76"/>
    </row>
    <row r="28" spans="1:14" ht="12.75">
      <c r="A28" s="75">
        <v>27</v>
      </c>
      <c r="B28" s="27" t="s">
        <v>454</v>
      </c>
      <c r="C28" s="27">
        <v>0</v>
      </c>
      <c r="D28" s="76">
        <v>0</v>
      </c>
      <c r="G28" s="79">
        <v>27</v>
      </c>
      <c r="H28" s="57" t="s">
        <v>415</v>
      </c>
      <c r="I28" s="56">
        <v>39620.864583333336</v>
      </c>
      <c r="J28" s="81">
        <f t="shared" si="0"/>
        <v>39620.864583333336</v>
      </c>
      <c r="M28" s="27"/>
      <c r="N28" s="76"/>
    </row>
    <row r="29" spans="1:14" ht="12.75">
      <c r="A29" s="75">
        <v>28</v>
      </c>
      <c r="B29" s="27" t="s">
        <v>455</v>
      </c>
      <c r="C29" s="27">
        <v>1</v>
      </c>
      <c r="D29" s="76">
        <v>0.041666666666666664</v>
      </c>
      <c r="G29" s="79">
        <v>28</v>
      </c>
      <c r="H29" s="57" t="s">
        <v>416</v>
      </c>
      <c r="I29" s="56">
        <v>39621.864583333336</v>
      </c>
      <c r="J29" s="81">
        <f t="shared" si="0"/>
        <v>39621.864583333336</v>
      </c>
      <c r="M29" s="27"/>
      <c r="N29" s="76"/>
    </row>
    <row r="30" spans="1:14" ht="12.75">
      <c r="A30" s="75">
        <v>29</v>
      </c>
      <c r="B30" s="27" t="s">
        <v>456</v>
      </c>
      <c r="C30" s="27">
        <v>0</v>
      </c>
      <c r="D30" s="76">
        <v>0</v>
      </c>
      <c r="G30" s="79">
        <v>29</v>
      </c>
      <c r="H30" s="57" t="s">
        <v>420</v>
      </c>
      <c r="I30" s="56">
        <v>39624.864583333336</v>
      </c>
      <c r="J30" s="81">
        <f t="shared" si="0"/>
        <v>39624.864583333336</v>
      </c>
      <c r="M30" s="27"/>
      <c r="N30" s="76"/>
    </row>
    <row r="31" spans="1:14" ht="12.75">
      <c r="A31" s="75">
        <v>30</v>
      </c>
      <c r="B31" s="27" t="s">
        <v>457</v>
      </c>
      <c r="C31" s="27">
        <v>-5</v>
      </c>
      <c r="D31" s="76">
        <v>0.20833333333333334</v>
      </c>
      <c r="G31" s="79">
        <v>30</v>
      </c>
      <c r="H31" s="57" t="s">
        <v>421</v>
      </c>
      <c r="I31" s="56">
        <v>39625.864583333336</v>
      </c>
      <c r="J31" s="81">
        <f t="shared" si="0"/>
        <v>39625.864583333336</v>
      </c>
      <c r="M31" s="27"/>
      <c r="N31" s="76"/>
    </row>
    <row r="32" spans="1:14" ht="12.75">
      <c r="A32" s="75">
        <v>31</v>
      </c>
      <c r="B32" s="27" t="s">
        <v>458</v>
      </c>
      <c r="C32" s="27">
        <v>0</v>
      </c>
      <c r="D32" s="76">
        <v>0</v>
      </c>
      <c r="G32" s="79">
        <v>31</v>
      </c>
      <c r="H32" s="57" t="s">
        <v>422</v>
      </c>
      <c r="I32" s="56">
        <v>39628.864583333336</v>
      </c>
      <c r="J32" s="81">
        <f t="shared" si="0"/>
        <v>39628.864583333336</v>
      </c>
      <c r="M32" s="27"/>
      <c r="N32" s="76"/>
    </row>
    <row r="33" spans="1:14" ht="12.75">
      <c r="A33" s="75">
        <v>32</v>
      </c>
      <c r="B33" s="27" t="s">
        <v>459</v>
      </c>
      <c r="C33" s="27">
        <v>8</v>
      </c>
      <c r="D33" s="76">
        <v>0.3333333333333333</v>
      </c>
      <c r="M33" s="27"/>
      <c r="N33" s="76"/>
    </row>
    <row r="34" spans="1:14" ht="12.75">
      <c r="A34" s="75">
        <v>33</v>
      </c>
      <c r="B34" s="27" t="s">
        <v>460</v>
      </c>
      <c r="C34" s="27">
        <v>0</v>
      </c>
      <c r="D34" s="76">
        <v>0</v>
      </c>
      <c r="M34" s="27"/>
      <c r="N34" s="76"/>
    </row>
    <row r="35" spans="1:14" ht="12.75">
      <c r="A35" s="75">
        <v>34</v>
      </c>
      <c r="B35" s="27" t="s">
        <v>461</v>
      </c>
      <c r="C35" s="27">
        <v>-6.5</v>
      </c>
      <c r="D35" s="76">
        <v>0.2708333333333333</v>
      </c>
      <c r="M35" s="27"/>
      <c r="N35" s="76"/>
    </row>
    <row r="36" spans="1:14" ht="12.75">
      <c r="A36" s="75">
        <v>35</v>
      </c>
      <c r="B36" s="27" t="s">
        <v>462</v>
      </c>
      <c r="C36" s="27">
        <v>-2</v>
      </c>
      <c r="D36" s="76">
        <v>0.08333333333333333</v>
      </c>
      <c r="M36" s="27"/>
      <c r="N36" s="76"/>
    </row>
    <row r="37" spans="1:14" ht="12.75">
      <c r="A37" s="75">
        <v>36</v>
      </c>
      <c r="B37" s="27" t="s">
        <v>463</v>
      </c>
      <c r="C37" s="27">
        <v>-7</v>
      </c>
      <c r="D37" s="76">
        <v>0.2916666666666667</v>
      </c>
      <c r="M37" s="27"/>
      <c r="N37" s="76"/>
    </row>
    <row r="38" spans="1:14" ht="12.75">
      <c r="A38" s="75">
        <v>37</v>
      </c>
      <c r="B38" s="27" t="s">
        <v>464</v>
      </c>
      <c r="C38" s="27">
        <v>0</v>
      </c>
      <c r="D38" s="76">
        <v>0</v>
      </c>
      <c r="M38" s="27"/>
      <c r="N38" s="76"/>
    </row>
    <row r="39" spans="1:14" ht="12.75">
      <c r="A39" s="75">
        <v>38</v>
      </c>
      <c r="B39" s="27" t="s">
        <v>465</v>
      </c>
      <c r="C39" s="27">
        <v>7.5</v>
      </c>
      <c r="D39" s="76">
        <v>0.3125</v>
      </c>
      <c r="M39" s="27"/>
      <c r="N39" s="76"/>
    </row>
    <row r="40" spans="1:14" ht="12.75">
      <c r="A40" s="75">
        <v>39</v>
      </c>
      <c r="B40" s="27" t="s">
        <v>466</v>
      </c>
      <c r="C40" s="27">
        <v>-8</v>
      </c>
      <c r="D40" s="76">
        <v>0.3333333333333333</v>
      </c>
      <c r="M40" s="27"/>
      <c r="N40" s="76"/>
    </row>
    <row r="41" spans="1:14" ht="12.75">
      <c r="A41" s="75">
        <v>40</v>
      </c>
      <c r="B41" s="27" t="s">
        <v>467</v>
      </c>
      <c r="C41" s="27">
        <v>-6</v>
      </c>
      <c r="D41" s="76">
        <v>0.25</v>
      </c>
      <c r="M41" s="27"/>
      <c r="N41" s="76"/>
    </row>
    <row r="42" spans="1:14" ht="12.75">
      <c r="A42" s="75">
        <v>41</v>
      </c>
      <c r="B42" s="27" t="s">
        <v>468</v>
      </c>
      <c r="C42" s="27">
        <v>4</v>
      </c>
      <c r="D42" s="76">
        <v>0.16666666666666666</v>
      </c>
      <c r="M42" s="27"/>
      <c r="N42" s="76"/>
    </row>
    <row r="43" spans="1:14" ht="12.75">
      <c r="A43" s="75">
        <v>42</v>
      </c>
      <c r="B43" s="27" t="s">
        <v>469</v>
      </c>
      <c r="C43" s="27">
        <v>2</v>
      </c>
      <c r="D43" s="76">
        <v>0.08333333333333333</v>
      </c>
      <c r="M43" s="27"/>
      <c r="N43" s="76"/>
    </row>
    <row r="44" spans="1:14" ht="12.75">
      <c r="A44" s="75">
        <v>43</v>
      </c>
      <c r="B44" s="27" t="s">
        <v>470</v>
      </c>
      <c r="C44" s="27">
        <v>-1</v>
      </c>
      <c r="D44" s="76">
        <v>0.041666666666666664</v>
      </c>
      <c r="M44" s="27"/>
      <c r="N44" s="76"/>
    </row>
    <row r="45" spans="1:14" ht="12.75">
      <c r="A45" s="75">
        <v>44</v>
      </c>
      <c r="B45" s="27" t="s">
        <v>471</v>
      </c>
      <c r="C45" s="27">
        <v>-8</v>
      </c>
      <c r="D45" s="76">
        <v>0.3333333333333333</v>
      </c>
      <c r="M45" s="27"/>
      <c r="N45" s="76"/>
    </row>
    <row r="46" spans="1:14" ht="12.75">
      <c r="A46" s="75">
        <v>45</v>
      </c>
      <c r="B46" s="27" t="s">
        <v>472</v>
      </c>
      <c r="C46" s="27">
        <v>0</v>
      </c>
      <c r="D46" s="76">
        <v>0</v>
      </c>
      <c r="M46" s="27"/>
      <c r="N46" s="76"/>
    </row>
    <row r="47" spans="1:14" ht="12.75">
      <c r="A47" s="75">
        <v>46</v>
      </c>
      <c r="B47" s="27" t="s">
        <v>473</v>
      </c>
      <c r="C47" s="27">
        <v>0</v>
      </c>
      <c r="D47" s="76">
        <v>0</v>
      </c>
      <c r="M47" s="27"/>
      <c r="N47" s="76"/>
    </row>
    <row r="48" spans="1:14" ht="12.75">
      <c r="A48" s="75">
        <v>47</v>
      </c>
      <c r="B48" s="27" t="s">
        <v>474</v>
      </c>
      <c r="C48" s="27">
        <v>-8</v>
      </c>
      <c r="D48" s="76">
        <v>0.3333333333333333</v>
      </c>
      <c r="M48" s="27"/>
      <c r="N48" s="76"/>
    </row>
    <row r="49" spans="1:14" ht="12.75">
      <c r="A49" s="75">
        <v>48</v>
      </c>
      <c r="B49" s="27" t="s">
        <v>475</v>
      </c>
      <c r="C49" s="27">
        <v>-5</v>
      </c>
      <c r="D49" s="76">
        <v>0.20833333333333334</v>
      </c>
      <c r="M49" s="27"/>
      <c r="N49" s="76"/>
    </row>
    <row r="50" spans="1:14" ht="12.75">
      <c r="A50" s="75">
        <v>49</v>
      </c>
      <c r="B50" s="27" t="s">
        <v>476</v>
      </c>
      <c r="C50" s="27">
        <v>5</v>
      </c>
      <c r="D50" s="76">
        <v>0.20833333333333334</v>
      </c>
      <c r="M50" s="27"/>
      <c r="N50" s="76"/>
    </row>
    <row r="51" spans="1:14" ht="12.75">
      <c r="A51" s="75">
        <v>50</v>
      </c>
      <c r="B51" s="27" t="s">
        <v>477</v>
      </c>
      <c r="C51" s="27">
        <v>0</v>
      </c>
      <c r="D51" s="76">
        <v>0</v>
      </c>
      <c r="M51" s="27"/>
      <c r="N51" s="76"/>
    </row>
    <row r="52" spans="1:14" ht="12.75">
      <c r="A52" s="75">
        <v>51</v>
      </c>
      <c r="B52" s="27" t="s">
        <v>478</v>
      </c>
      <c r="C52" s="27">
        <v>-6</v>
      </c>
      <c r="D52" s="76">
        <v>0.25</v>
      </c>
      <c r="M52" s="27"/>
      <c r="N52" s="76"/>
    </row>
    <row r="53" spans="1:14" ht="12.75">
      <c r="A53" s="75">
        <v>52</v>
      </c>
      <c r="B53" s="27" t="s">
        <v>479</v>
      </c>
      <c r="C53" s="27">
        <v>1</v>
      </c>
      <c r="D53" s="76">
        <v>0.041666666666666664</v>
      </c>
      <c r="M53" s="27"/>
      <c r="N53" s="76"/>
    </row>
    <row r="54" spans="1:14" ht="12.75">
      <c r="A54" s="75">
        <v>53</v>
      </c>
      <c r="B54" s="27" t="s">
        <v>480</v>
      </c>
      <c r="C54" s="27">
        <v>6</v>
      </c>
      <c r="D54" s="76">
        <v>0.25</v>
      </c>
      <c r="M54" s="27"/>
      <c r="N54" s="76"/>
    </row>
    <row r="55" spans="1:14" ht="12.75">
      <c r="A55" s="75">
        <v>54</v>
      </c>
      <c r="B55" s="27" t="s">
        <v>481</v>
      </c>
      <c r="C55" s="27">
        <v>-12</v>
      </c>
      <c r="D55" s="76">
        <v>0</v>
      </c>
      <c r="M55" s="27"/>
      <c r="N55" s="76"/>
    </row>
    <row r="56" spans="1:14" ht="12.75">
      <c r="A56" s="75">
        <v>55</v>
      </c>
      <c r="B56" s="27" t="s">
        <v>482</v>
      </c>
      <c r="C56" s="27">
        <v>-7</v>
      </c>
      <c r="D56" s="76">
        <v>0.2916666666666667</v>
      </c>
      <c r="M56" s="27"/>
      <c r="N56" s="76"/>
    </row>
    <row r="57" spans="1:14" ht="12.75">
      <c r="A57" s="75">
        <v>56</v>
      </c>
      <c r="B57" s="27" t="s">
        <v>483</v>
      </c>
      <c r="C57" s="27">
        <v>-6</v>
      </c>
      <c r="D57" s="76">
        <v>0.25</v>
      </c>
      <c r="M57" s="27"/>
      <c r="N57" s="76"/>
    </row>
    <row r="58" spans="1:14" ht="12.75">
      <c r="A58" s="75">
        <v>57</v>
      </c>
      <c r="B58" s="27" t="s">
        <v>484</v>
      </c>
      <c r="C58" s="27">
        <v>3</v>
      </c>
      <c r="D58" s="76">
        <v>0.125</v>
      </c>
      <c r="M58" s="27"/>
      <c r="N58" s="76"/>
    </row>
    <row r="59" spans="1:14" ht="12.75">
      <c r="A59" s="75">
        <v>58</v>
      </c>
      <c r="B59" s="27" t="s">
        <v>485</v>
      </c>
      <c r="C59" s="27">
        <v>1</v>
      </c>
      <c r="D59" s="76">
        <v>0.041666666666666664</v>
      </c>
      <c r="M59" s="27"/>
      <c r="N59" s="76"/>
    </row>
    <row r="60" spans="1:14" ht="12.75">
      <c r="A60" s="75">
        <v>59</v>
      </c>
      <c r="B60" s="27" t="s">
        <v>486</v>
      </c>
      <c r="C60" s="27">
        <v>6</v>
      </c>
      <c r="D60" s="76">
        <v>0.25</v>
      </c>
      <c r="M60" s="27"/>
      <c r="N60" s="76"/>
    </row>
    <row r="61" spans="1:14" ht="12.75">
      <c r="A61" s="75">
        <v>60</v>
      </c>
      <c r="B61" s="27" t="s">
        <v>487</v>
      </c>
      <c r="C61" s="27">
        <v>1</v>
      </c>
      <c r="D61" s="76">
        <v>0.041666666666666664</v>
      </c>
      <c r="M61" s="27"/>
      <c r="N61" s="76"/>
    </row>
    <row r="62" spans="1:14" ht="12.75">
      <c r="A62" s="75">
        <v>61</v>
      </c>
      <c r="B62" s="27" t="s">
        <v>488</v>
      </c>
      <c r="C62" s="27">
        <v>0</v>
      </c>
      <c r="D62" s="76">
        <v>0</v>
      </c>
      <c r="M62" s="27"/>
      <c r="N62" s="76"/>
    </row>
    <row r="63" spans="1:14" ht="12.75">
      <c r="A63" s="75">
        <v>62</v>
      </c>
      <c r="B63" s="27" t="s">
        <v>489</v>
      </c>
      <c r="C63" s="27">
        <v>2.5</v>
      </c>
      <c r="D63" s="76">
        <v>0.10416666666666667</v>
      </c>
      <c r="M63" s="27"/>
      <c r="N63" s="76"/>
    </row>
    <row r="64" spans="1:14" ht="12.75">
      <c r="A64" s="75">
        <v>63</v>
      </c>
      <c r="B64" s="27" t="s">
        <v>490</v>
      </c>
      <c r="C64" s="27">
        <v>11</v>
      </c>
      <c r="D64" s="76">
        <v>0.4583333333333333</v>
      </c>
      <c r="M64" s="27"/>
      <c r="N64" s="76"/>
    </row>
    <row r="65" spans="1:14" ht="12.75">
      <c r="A65" s="75">
        <v>64</v>
      </c>
      <c r="B65" s="27" t="s">
        <v>491</v>
      </c>
      <c r="C65" s="27">
        <v>3</v>
      </c>
      <c r="D65" s="76">
        <v>0.125</v>
      </c>
      <c r="M65" s="27"/>
      <c r="N65" s="76"/>
    </row>
    <row r="66" spans="1:14" ht="12.75">
      <c r="A66" s="75">
        <v>65</v>
      </c>
      <c r="B66" s="27" t="s">
        <v>492</v>
      </c>
      <c r="C66" s="27">
        <v>1</v>
      </c>
      <c r="D66" s="76">
        <v>0.041666666666666664</v>
      </c>
      <c r="M66" s="27"/>
      <c r="N66" s="76"/>
    </row>
    <row r="67" spans="1:14" ht="12.75">
      <c r="A67" s="75">
        <v>66</v>
      </c>
      <c r="B67" s="27" t="s">
        <v>493</v>
      </c>
      <c r="C67" s="27">
        <v>-7</v>
      </c>
      <c r="D67" s="76">
        <v>0.2916666666666667</v>
      </c>
      <c r="M67" s="27"/>
      <c r="N67" s="76"/>
    </row>
    <row r="68" spans="1:14" ht="12.75">
      <c r="A68" s="75">
        <v>67</v>
      </c>
      <c r="B68" s="27" t="s">
        <v>494</v>
      </c>
      <c r="C68" s="82">
        <v>12</v>
      </c>
      <c r="D68" s="76">
        <v>0</v>
      </c>
      <c r="M68" s="82"/>
      <c r="N68" s="76"/>
    </row>
    <row r="69" spans="1:14" ht="12.75">
      <c r="A69" s="75">
        <v>68</v>
      </c>
      <c r="B69" s="27" t="s">
        <v>495</v>
      </c>
      <c r="C69" s="27">
        <v>3.5</v>
      </c>
      <c r="D69" s="76">
        <v>0.15972222222222224</v>
      </c>
      <c r="M69" s="27"/>
      <c r="N69" s="76"/>
    </row>
    <row r="70" spans="1:14" ht="12.75">
      <c r="A70" s="75">
        <v>69</v>
      </c>
      <c r="B70" s="27" t="s">
        <v>496</v>
      </c>
      <c r="C70" s="27">
        <v>6</v>
      </c>
      <c r="D70" s="76">
        <v>0.25</v>
      </c>
      <c r="M70" s="27"/>
      <c r="N70" s="76"/>
    </row>
    <row r="71" spans="1:14" ht="12.75">
      <c r="A71" s="75">
        <v>70</v>
      </c>
      <c r="B71" s="27" t="s">
        <v>497</v>
      </c>
      <c r="C71" s="27">
        <v>1</v>
      </c>
      <c r="D71" s="76">
        <v>0.041666666666666664</v>
      </c>
      <c r="M71" s="27"/>
      <c r="N71" s="76"/>
    </row>
    <row r="72" spans="1:14" ht="12.75">
      <c r="A72" s="75">
        <v>71</v>
      </c>
      <c r="B72" s="27" t="s">
        <v>498</v>
      </c>
      <c r="C72" s="27">
        <v>1</v>
      </c>
      <c r="D72" s="76">
        <v>0.041666666666666664</v>
      </c>
      <c r="M72" s="27"/>
      <c r="N72" s="76"/>
    </row>
    <row r="73" spans="1:14" ht="12.75">
      <c r="A73" s="75">
        <v>72</v>
      </c>
      <c r="B73" s="27" t="s">
        <v>499</v>
      </c>
      <c r="C73" s="27">
        <v>-6</v>
      </c>
      <c r="D73" s="76">
        <v>0.25</v>
      </c>
      <c r="M73" s="27"/>
      <c r="N73" s="76"/>
    </row>
    <row r="74" spans="1:14" ht="12.75">
      <c r="A74" s="75">
        <v>73</v>
      </c>
      <c r="B74" s="27" t="s">
        <v>500</v>
      </c>
      <c r="C74" s="27">
        <v>-1</v>
      </c>
      <c r="D74" s="76">
        <v>0.041666666666666664</v>
      </c>
      <c r="M74" s="27"/>
      <c r="N74" s="76"/>
    </row>
    <row r="75" spans="1:14" ht="12.75">
      <c r="A75" s="75">
        <v>74</v>
      </c>
      <c r="B75" s="27" t="s">
        <v>501</v>
      </c>
      <c r="C75" s="27">
        <v>3</v>
      </c>
      <c r="D75" s="76">
        <v>0.125</v>
      </c>
      <c r="M75" s="27"/>
      <c r="N75" s="76"/>
    </row>
    <row r="76" spans="1:14" ht="12.75">
      <c r="A76" s="75">
        <v>75</v>
      </c>
      <c r="B76" s="27" t="s">
        <v>502</v>
      </c>
      <c r="C76" s="27">
        <v>-7</v>
      </c>
      <c r="D76" s="76">
        <v>0.2916666666666667</v>
      </c>
      <c r="M76" s="27"/>
      <c r="N76" s="76"/>
    </row>
    <row r="77" spans="1:14" ht="12.75">
      <c r="A77" s="75">
        <v>76</v>
      </c>
      <c r="B77" s="27" t="s">
        <v>503</v>
      </c>
      <c r="C77" s="27">
        <v>-1</v>
      </c>
      <c r="D77" s="76">
        <v>0.041666666666666664</v>
      </c>
      <c r="M77" s="27"/>
      <c r="N77" s="76"/>
    </row>
    <row r="78" spans="1:14" ht="12.75">
      <c r="A78" s="75">
        <v>77</v>
      </c>
      <c r="B78" s="27" t="s">
        <v>504</v>
      </c>
      <c r="C78" s="27">
        <v>-1</v>
      </c>
      <c r="D78" s="76">
        <v>0.041666666666666664</v>
      </c>
      <c r="M78" s="27"/>
      <c r="N78" s="76"/>
    </row>
    <row r="79" spans="1:14" ht="12.75">
      <c r="A79" s="75">
        <v>78</v>
      </c>
      <c r="B79" s="27" t="s">
        <v>505</v>
      </c>
      <c r="C79" s="27">
        <v>-9</v>
      </c>
      <c r="D79" s="76">
        <v>0.375</v>
      </c>
      <c r="M79" s="27"/>
      <c r="N79" s="76"/>
    </row>
    <row r="80" spans="1:14" ht="12.75">
      <c r="A80" s="75">
        <v>79</v>
      </c>
      <c r="B80" s="27" t="s">
        <v>506</v>
      </c>
      <c r="C80" s="27">
        <v>0</v>
      </c>
      <c r="D80" s="76">
        <v>0</v>
      </c>
      <c r="M80" s="27"/>
      <c r="N80" s="76"/>
    </row>
    <row r="81" spans="1:14" ht="12.75">
      <c r="A81" s="75">
        <v>80</v>
      </c>
      <c r="B81" s="27" t="s">
        <v>507</v>
      </c>
      <c r="C81" s="27">
        <v>-8</v>
      </c>
      <c r="D81" s="76">
        <v>0.3333333333333333</v>
      </c>
      <c r="M81" s="27"/>
      <c r="N81" s="76"/>
    </row>
    <row r="82" spans="1:14" ht="12.75">
      <c r="A82" s="75">
        <v>81</v>
      </c>
      <c r="B82" s="27" t="s">
        <v>508</v>
      </c>
      <c r="C82" s="27">
        <v>6</v>
      </c>
      <c r="D82" s="76">
        <v>0.25</v>
      </c>
      <c r="M82" s="27"/>
      <c r="N82" s="76"/>
    </row>
    <row r="83" spans="1:14" ht="12.75">
      <c r="A83" s="75">
        <v>82</v>
      </c>
      <c r="B83" s="27" t="s">
        <v>509</v>
      </c>
      <c r="C83" s="27">
        <v>8</v>
      </c>
      <c r="D83" s="76">
        <v>0.3333333333333333</v>
      </c>
      <c r="M83" s="27"/>
      <c r="N83" s="76"/>
    </row>
    <row r="84" spans="1:14" ht="12.75">
      <c r="A84" s="75">
        <v>83</v>
      </c>
      <c r="B84" s="27" t="s">
        <v>510</v>
      </c>
      <c r="C84" s="27">
        <v>-7</v>
      </c>
      <c r="D84" s="76">
        <v>0.2916666666666667</v>
      </c>
      <c r="M84" s="27"/>
      <c r="N84" s="76"/>
    </row>
    <row r="85" spans="1:14" ht="12.75">
      <c r="A85" s="75">
        <v>84</v>
      </c>
      <c r="B85" s="27" t="s">
        <v>511</v>
      </c>
      <c r="C85" s="27">
        <v>-6</v>
      </c>
      <c r="D85" s="76">
        <v>0.25</v>
      </c>
      <c r="M85" s="27"/>
      <c r="N85" s="76"/>
    </row>
    <row r="86" spans="1:14" ht="12.75">
      <c r="A86" s="75">
        <v>85</v>
      </c>
      <c r="B86" s="27" t="s">
        <v>512</v>
      </c>
      <c r="C86" s="27">
        <v>-7</v>
      </c>
      <c r="D86" s="76">
        <v>0.2916666666666667</v>
      </c>
      <c r="M86" s="27"/>
      <c r="N86" s="76"/>
    </row>
    <row r="87" spans="1:14" ht="12.75">
      <c r="A87" s="75">
        <v>86</v>
      </c>
      <c r="B87" s="27" t="s">
        <v>513</v>
      </c>
      <c r="C87" s="27">
        <v>1</v>
      </c>
      <c r="D87" s="76">
        <v>0.041666666666666664</v>
      </c>
      <c r="M87" s="27"/>
      <c r="N87" s="76"/>
    </row>
    <row r="88" spans="1:14" ht="12.75">
      <c r="A88" s="75">
        <v>87</v>
      </c>
      <c r="B88" s="27" t="s">
        <v>514</v>
      </c>
      <c r="C88" s="27">
        <v>-5</v>
      </c>
      <c r="D88" s="76">
        <v>0.20833333333333334</v>
      </c>
      <c r="M88" s="27"/>
      <c r="N88" s="76"/>
    </row>
    <row r="89" spans="1:14" ht="12.75">
      <c r="A89" s="75">
        <v>88</v>
      </c>
      <c r="B89" s="27" t="s">
        <v>515</v>
      </c>
      <c r="C89" s="27">
        <v>-7</v>
      </c>
      <c r="D89" s="76">
        <v>0.2916666666666667</v>
      </c>
      <c r="M89" s="27"/>
      <c r="N89" s="76"/>
    </row>
    <row r="90" spans="1:14" ht="12.75">
      <c r="A90" s="75">
        <v>89</v>
      </c>
      <c r="B90" s="27" t="s">
        <v>516</v>
      </c>
      <c r="C90" s="27">
        <v>-6</v>
      </c>
      <c r="D90" s="76">
        <v>0.25</v>
      </c>
      <c r="M90" s="27"/>
      <c r="N90" s="76"/>
    </row>
    <row r="91" spans="1:14" ht="12.75">
      <c r="A91" s="75">
        <v>90</v>
      </c>
      <c r="B91" s="27" t="s">
        <v>517</v>
      </c>
      <c r="C91" s="27">
        <v>2</v>
      </c>
      <c r="D91" s="76">
        <v>0.08333333333333333</v>
      </c>
      <c r="M91" s="27"/>
      <c r="N91" s="76"/>
    </row>
    <row r="92" spans="1:14" ht="12.75">
      <c r="A92" s="75">
        <v>91</v>
      </c>
      <c r="B92" s="27" t="s">
        <v>518</v>
      </c>
      <c r="C92" s="27">
        <v>3.5</v>
      </c>
      <c r="D92" s="76">
        <v>0.15972222222222224</v>
      </c>
      <c r="M92" s="27"/>
      <c r="N92" s="76"/>
    </row>
    <row r="93" spans="1:14" ht="12.75">
      <c r="A93" s="75">
        <v>92</v>
      </c>
      <c r="B93" s="27" t="s">
        <v>519</v>
      </c>
      <c r="C93" s="27">
        <v>1</v>
      </c>
      <c r="D93" s="76">
        <v>0.041666666666666664</v>
      </c>
      <c r="M93" s="27"/>
      <c r="N93" s="76"/>
    </row>
    <row r="94" spans="1:14" ht="12.75">
      <c r="A94" s="75">
        <v>93</v>
      </c>
      <c r="B94" s="27" t="s">
        <v>520</v>
      </c>
      <c r="C94" s="27">
        <v>-6</v>
      </c>
      <c r="D94" s="76">
        <v>0.25</v>
      </c>
      <c r="M94" s="27"/>
      <c r="N94" s="76"/>
    </row>
    <row r="95" spans="1:14" ht="12.75">
      <c r="A95" s="75">
        <v>94</v>
      </c>
      <c r="B95" s="27" t="s">
        <v>521</v>
      </c>
      <c r="C95" s="27">
        <v>3.5</v>
      </c>
      <c r="D95" s="76">
        <v>0.15972222222222224</v>
      </c>
      <c r="M95" s="27"/>
      <c r="N95" s="76"/>
    </row>
    <row r="96" spans="1:14" ht="12.75">
      <c r="A96" s="75">
        <v>95</v>
      </c>
      <c r="B96" s="27" t="s">
        <v>522</v>
      </c>
      <c r="C96" s="27">
        <v>-7</v>
      </c>
      <c r="D96" s="76">
        <v>0.2916666666666667</v>
      </c>
      <c r="M96" s="27"/>
      <c r="N96" s="76"/>
    </row>
    <row r="97" spans="1:14" ht="12.75">
      <c r="A97" s="75">
        <v>96</v>
      </c>
      <c r="B97" s="27" t="s">
        <v>523</v>
      </c>
      <c r="C97" s="27">
        <v>-6</v>
      </c>
      <c r="D97" s="76">
        <v>0.25</v>
      </c>
      <c r="M97" s="27"/>
      <c r="N97" s="76"/>
    </row>
    <row r="98" spans="1:14" ht="12.75">
      <c r="A98" s="75">
        <v>97</v>
      </c>
      <c r="B98" s="27" t="s">
        <v>524</v>
      </c>
      <c r="C98" s="27">
        <v>0</v>
      </c>
      <c r="D98" s="76">
        <v>0</v>
      </c>
      <c r="M98" s="27"/>
      <c r="N98" s="76"/>
    </row>
    <row r="99" spans="1:14" ht="12.75">
      <c r="A99" s="75">
        <v>98</v>
      </c>
      <c r="B99" s="27" t="s">
        <v>525</v>
      </c>
      <c r="C99" s="27">
        <v>-6</v>
      </c>
      <c r="D99" s="76">
        <v>0.25</v>
      </c>
      <c r="M99" s="27"/>
      <c r="N99" s="76"/>
    </row>
    <row r="100" spans="1:14" ht="12.75">
      <c r="A100" s="75">
        <v>99</v>
      </c>
      <c r="B100" s="27" t="s">
        <v>526</v>
      </c>
      <c r="C100" s="27">
        <v>0</v>
      </c>
      <c r="D100" s="76">
        <v>0</v>
      </c>
      <c r="M100" s="27"/>
      <c r="N100" s="76"/>
    </row>
    <row r="101" spans="1:14" ht="12.75">
      <c r="A101" s="75">
        <v>100</v>
      </c>
      <c r="B101" s="27" t="s">
        <v>527</v>
      </c>
      <c r="C101" s="27">
        <v>6</v>
      </c>
      <c r="D101" s="76">
        <v>0.25</v>
      </c>
      <c r="M101" s="27"/>
      <c r="N101" s="76"/>
    </row>
    <row r="102" spans="1:14" ht="12.75">
      <c r="A102" s="75">
        <v>101</v>
      </c>
      <c r="B102" s="27" t="s">
        <v>528</v>
      </c>
      <c r="C102" s="27">
        <v>-6</v>
      </c>
      <c r="D102" s="76">
        <v>0.25</v>
      </c>
      <c r="M102" s="27"/>
      <c r="N102" s="76"/>
    </row>
    <row r="103" spans="1:14" ht="12.75">
      <c r="A103" s="75">
        <v>102</v>
      </c>
      <c r="B103" s="27" t="s">
        <v>529</v>
      </c>
      <c r="C103" s="27">
        <v>-9</v>
      </c>
      <c r="D103" s="76">
        <v>0.375</v>
      </c>
      <c r="M103" s="27"/>
      <c r="N103" s="76"/>
    </row>
    <row r="104" spans="1:14" ht="12.75">
      <c r="A104" s="75">
        <v>103</v>
      </c>
      <c r="B104" s="27" t="s">
        <v>530</v>
      </c>
      <c r="C104" s="27">
        <v>0</v>
      </c>
      <c r="D104" s="76">
        <v>0</v>
      </c>
      <c r="M104" s="27"/>
      <c r="N104" s="76"/>
    </row>
    <row r="105" spans="1:14" ht="12.75">
      <c r="A105" s="75">
        <v>104</v>
      </c>
      <c r="B105" s="27" t="s">
        <v>531</v>
      </c>
      <c r="C105" s="27">
        <v>-2</v>
      </c>
      <c r="D105" s="76">
        <v>0.08333333333333333</v>
      </c>
      <c r="M105" s="27"/>
      <c r="N105" s="76"/>
    </row>
    <row r="106" spans="1:14" ht="12.75">
      <c r="A106" s="75">
        <v>105</v>
      </c>
      <c r="B106" s="27" t="s">
        <v>532</v>
      </c>
      <c r="C106" s="27">
        <v>-5</v>
      </c>
      <c r="D106" s="76">
        <v>0.20833333333333334</v>
      </c>
      <c r="M106" s="27"/>
      <c r="N106" s="76"/>
    </row>
    <row r="107" spans="1:14" ht="12.75">
      <c r="A107" s="75">
        <v>106</v>
      </c>
      <c r="B107" s="27" t="s">
        <v>533</v>
      </c>
      <c r="C107" s="27">
        <v>1</v>
      </c>
      <c r="D107" s="76">
        <v>0.041666666666666664</v>
      </c>
      <c r="M107" s="27"/>
      <c r="N107" s="76"/>
    </row>
    <row r="108" spans="1:14" ht="12.75">
      <c r="A108" s="75">
        <v>107</v>
      </c>
      <c r="B108" s="27" t="s">
        <v>534</v>
      </c>
      <c r="C108" s="27">
        <v>0</v>
      </c>
      <c r="D108" s="76">
        <v>0</v>
      </c>
      <c r="M108" s="27"/>
      <c r="N108" s="76"/>
    </row>
    <row r="109" spans="1:14" ht="12.75">
      <c r="A109" s="75">
        <v>108</v>
      </c>
      <c r="B109" s="27" t="s">
        <v>535</v>
      </c>
      <c r="C109" s="27">
        <v>-9</v>
      </c>
      <c r="D109" s="76">
        <v>0.375</v>
      </c>
      <c r="M109" s="27"/>
      <c r="N109" s="76"/>
    </row>
    <row r="110" spans="1:14" ht="12.75">
      <c r="A110" s="75">
        <v>109</v>
      </c>
      <c r="B110" s="27" t="s">
        <v>536</v>
      </c>
      <c r="C110" s="27">
        <v>-6</v>
      </c>
      <c r="D110" s="76">
        <v>0.25</v>
      </c>
      <c r="M110" s="27"/>
      <c r="N110" s="76"/>
    </row>
    <row r="111" spans="1:14" ht="12.75">
      <c r="A111" s="75">
        <v>110</v>
      </c>
      <c r="B111" s="27" t="s">
        <v>537</v>
      </c>
      <c r="C111" s="27">
        <v>-8</v>
      </c>
      <c r="D111" s="76">
        <v>0.3333333333333333</v>
      </c>
      <c r="M111" s="27"/>
      <c r="N111" s="76"/>
    </row>
    <row r="112" spans="1:14" ht="12.75">
      <c r="A112" s="75">
        <v>111</v>
      </c>
      <c r="B112" s="27" t="s">
        <v>538</v>
      </c>
      <c r="C112" s="27">
        <v>-6</v>
      </c>
      <c r="D112" s="76">
        <v>0.25</v>
      </c>
      <c r="M112" s="27"/>
      <c r="N112" s="76"/>
    </row>
    <row r="113" spans="1:14" ht="12.75">
      <c r="A113" s="75">
        <v>112</v>
      </c>
      <c r="B113" s="27" t="s">
        <v>539</v>
      </c>
      <c r="C113" s="27">
        <v>-6</v>
      </c>
      <c r="D113" s="76">
        <v>0.25</v>
      </c>
      <c r="M113" s="27"/>
      <c r="N113" s="76"/>
    </row>
    <row r="114" spans="1:14" ht="12.75">
      <c r="A114" s="75">
        <v>113</v>
      </c>
      <c r="B114" s="27" t="s">
        <v>540</v>
      </c>
      <c r="C114" s="27">
        <v>-5</v>
      </c>
      <c r="D114" s="76">
        <v>0.20833333333333334</v>
      </c>
      <c r="M114" s="27"/>
      <c r="N114" s="76"/>
    </row>
    <row r="115" spans="1:14" ht="12.75">
      <c r="A115" s="75">
        <v>114</v>
      </c>
      <c r="B115" s="27" t="s">
        <v>541</v>
      </c>
      <c r="C115" s="27">
        <v>-9</v>
      </c>
      <c r="D115" s="76">
        <v>0.375</v>
      </c>
      <c r="M115" s="27"/>
      <c r="N115" s="76"/>
    </row>
    <row r="116" spans="1:14" ht="12.75">
      <c r="A116" s="75">
        <v>115</v>
      </c>
      <c r="B116" s="27" t="s">
        <v>542</v>
      </c>
      <c r="C116" s="27">
        <v>7</v>
      </c>
      <c r="D116" s="76">
        <v>0.2916666666666667</v>
      </c>
      <c r="M116" s="27"/>
      <c r="N116" s="76"/>
    </row>
    <row r="117" spans="1:14" ht="12.75">
      <c r="A117" s="75">
        <v>116</v>
      </c>
      <c r="B117" s="27" t="s">
        <v>543</v>
      </c>
      <c r="C117" s="27">
        <v>6</v>
      </c>
      <c r="D117" s="76">
        <v>0.25</v>
      </c>
      <c r="M117" s="27"/>
      <c r="N117" s="76"/>
    </row>
    <row r="118" spans="1:14" ht="12.75">
      <c r="A118" s="75">
        <v>117</v>
      </c>
      <c r="B118" s="27" t="s">
        <v>544</v>
      </c>
      <c r="C118" s="27">
        <v>6</v>
      </c>
      <c r="D118" s="76">
        <v>0.25</v>
      </c>
      <c r="M118" s="27"/>
      <c r="N118" s="76"/>
    </row>
    <row r="119" spans="1:14" ht="12.75">
      <c r="A119" s="75">
        <v>118</v>
      </c>
      <c r="B119" s="27" t="s">
        <v>545</v>
      </c>
      <c r="C119" s="27">
        <v>1</v>
      </c>
      <c r="D119" s="76">
        <v>0.041666666666666664</v>
      </c>
      <c r="M119" s="27"/>
      <c r="N119" s="76"/>
    </row>
    <row r="120" spans="1:14" ht="12.75">
      <c r="A120" s="75">
        <v>119</v>
      </c>
      <c r="B120" s="27" t="s">
        <v>546</v>
      </c>
      <c r="C120" s="27">
        <v>-4</v>
      </c>
      <c r="D120" s="76">
        <v>0.16666666666666666</v>
      </c>
      <c r="M120" s="27"/>
      <c r="N120" s="76"/>
    </row>
    <row r="121" spans="1:14" ht="12.75">
      <c r="A121" s="75">
        <v>120</v>
      </c>
      <c r="B121" s="27" t="s">
        <v>547</v>
      </c>
      <c r="C121" s="27">
        <v>-7</v>
      </c>
      <c r="D121" s="76">
        <v>0.2916666666666667</v>
      </c>
      <c r="M121" s="27"/>
      <c r="N121" s="76"/>
    </row>
    <row r="122" spans="1:14" ht="12.75">
      <c r="A122" s="75">
        <v>121</v>
      </c>
      <c r="B122" s="27" t="s">
        <v>548</v>
      </c>
      <c r="C122" s="27">
        <v>0</v>
      </c>
      <c r="D122" s="76">
        <v>0</v>
      </c>
      <c r="M122" s="27"/>
      <c r="N122" s="76"/>
    </row>
    <row r="123" spans="1:14" ht="12.75">
      <c r="A123" s="75">
        <v>122</v>
      </c>
      <c r="B123" s="27" t="s">
        <v>549</v>
      </c>
      <c r="C123" s="27">
        <v>10</v>
      </c>
      <c r="D123" s="76">
        <v>0.4166666666666667</v>
      </c>
      <c r="M123" s="27"/>
      <c r="N123" s="76"/>
    </row>
    <row r="124" spans="1:14" ht="12.75">
      <c r="A124" s="75">
        <v>123</v>
      </c>
      <c r="B124" s="27" t="s">
        <v>550</v>
      </c>
      <c r="C124" s="27">
        <v>8</v>
      </c>
      <c r="D124" s="76">
        <v>0.3333333333333333</v>
      </c>
      <c r="M124" s="27"/>
      <c r="N124" s="76"/>
    </row>
    <row r="125" spans="1:14" ht="12.75">
      <c r="A125" s="75">
        <v>124</v>
      </c>
      <c r="B125" s="27" t="s">
        <v>551</v>
      </c>
      <c r="C125" s="27">
        <v>6</v>
      </c>
      <c r="D125" s="76">
        <v>0.25</v>
      </c>
      <c r="M125" s="27"/>
      <c r="N125" s="76"/>
    </row>
    <row r="126" spans="1:14" ht="12.75">
      <c r="A126" s="75">
        <v>125</v>
      </c>
      <c r="B126" s="27" t="s">
        <v>552</v>
      </c>
      <c r="C126" s="27">
        <v>1</v>
      </c>
      <c r="D126" s="76">
        <v>0.041666666666666664</v>
      </c>
      <c r="M126" s="27"/>
      <c r="N126" s="76"/>
    </row>
    <row r="127" spans="1:14" ht="12.75">
      <c r="A127" s="75">
        <v>126</v>
      </c>
      <c r="B127" s="27" t="s">
        <v>553</v>
      </c>
      <c r="C127" s="27">
        <v>3</v>
      </c>
      <c r="D127" s="76">
        <v>0.125</v>
      </c>
      <c r="M127" s="27"/>
      <c r="N127" s="76"/>
    </row>
    <row r="128" spans="1:14" ht="12.75">
      <c r="A128" s="75">
        <v>127</v>
      </c>
      <c r="B128" s="27" t="s">
        <v>554</v>
      </c>
      <c r="C128" s="27">
        <v>-8</v>
      </c>
      <c r="D128" s="76">
        <v>0.3333333333333333</v>
      </c>
      <c r="M128" s="27"/>
      <c r="N128" s="76"/>
    </row>
    <row r="129" spans="1:14" ht="12.75">
      <c r="A129" s="75">
        <v>128</v>
      </c>
      <c r="B129" s="27" t="s">
        <v>555</v>
      </c>
      <c r="C129" s="27">
        <v>2.5</v>
      </c>
      <c r="D129" s="76">
        <v>0.10416666666666667</v>
      </c>
      <c r="M129" s="27"/>
      <c r="N129" s="76"/>
    </row>
    <row r="130" spans="1:14" ht="12.75">
      <c r="A130" s="75">
        <v>129</v>
      </c>
      <c r="B130" s="27" t="s">
        <v>556</v>
      </c>
      <c r="C130" s="27">
        <v>7</v>
      </c>
      <c r="D130" s="76">
        <v>0.2916666666666667</v>
      </c>
      <c r="M130" s="27"/>
      <c r="N130" s="76"/>
    </row>
    <row r="131" spans="1:14" ht="12.75">
      <c r="A131" s="75">
        <v>130</v>
      </c>
      <c r="B131" s="27" t="s">
        <v>557</v>
      </c>
      <c r="C131" s="27">
        <v>-6</v>
      </c>
      <c r="D131" s="76">
        <v>0.25</v>
      </c>
      <c r="M131" s="27"/>
      <c r="N131" s="76"/>
    </row>
    <row r="132" spans="1:14" ht="12.75">
      <c r="A132" s="75">
        <v>131</v>
      </c>
      <c r="B132" s="27" t="s">
        <v>558</v>
      </c>
      <c r="C132" s="27">
        <v>-9</v>
      </c>
      <c r="D132" s="76">
        <v>0.375</v>
      </c>
      <c r="M132" s="27"/>
      <c r="N132" s="76"/>
    </row>
    <row r="133" spans="1:14" ht="12.75">
      <c r="A133" s="75">
        <v>132</v>
      </c>
      <c r="B133" s="27" t="s">
        <v>559</v>
      </c>
      <c r="C133" s="27">
        <v>0</v>
      </c>
      <c r="D133" s="76">
        <v>0</v>
      </c>
      <c r="M133" s="27"/>
      <c r="N133" s="76"/>
    </row>
    <row r="134" spans="1:14" ht="12.75">
      <c r="A134" s="75">
        <v>133</v>
      </c>
      <c r="B134" s="27" t="s">
        <v>560</v>
      </c>
      <c r="C134" s="27">
        <v>9</v>
      </c>
      <c r="D134" s="76">
        <v>0.375</v>
      </c>
      <c r="M134" s="27"/>
      <c r="N134" s="76"/>
    </row>
    <row r="135" spans="1:14" ht="12.75">
      <c r="A135" s="75">
        <v>134</v>
      </c>
      <c r="B135" s="27" t="s">
        <v>561</v>
      </c>
      <c r="C135" s="27">
        <v>0</v>
      </c>
      <c r="D135" s="76">
        <v>0</v>
      </c>
      <c r="M135" s="27"/>
      <c r="N135" s="76"/>
    </row>
    <row r="136" spans="1:14" ht="12.75">
      <c r="A136" s="75">
        <v>135</v>
      </c>
      <c r="B136" s="27" t="s">
        <v>562</v>
      </c>
      <c r="C136" s="27">
        <v>-6</v>
      </c>
      <c r="D136" s="76">
        <v>0.25</v>
      </c>
      <c r="M136" s="27"/>
      <c r="N136" s="76"/>
    </row>
    <row r="137" spans="1:14" ht="12.75">
      <c r="A137" s="75">
        <v>136</v>
      </c>
      <c r="B137" s="27" t="s">
        <v>563</v>
      </c>
      <c r="C137" s="27">
        <v>-7</v>
      </c>
      <c r="D137" s="76">
        <v>0.2916666666666667</v>
      </c>
      <c r="M137" s="27"/>
      <c r="N137" s="76"/>
    </row>
    <row r="138" spans="1:14" ht="12.75">
      <c r="A138" s="75">
        <v>137</v>
      </c>
      <c r="B138" s="27" t="s">
        <v>564</v>
      </c>
      <c r="C138" s="27">
        <v>4.5</v>
      </c>
      <c r="D138" s="76">
        <v>0.1875</v>
      </c>
      <c r="M138" s="27"/>
      <c r="N138" s="76"/>
    </row>
    <row r="139" spans="1:14" ht="12.75">
      <c r="A139" s="75">
        <v>138</v>
      </c>
      <c r="B139" s="27" t="s">
        <v>565</v>
      </c>
      <c r="C139" s="27">
        <v>0</v>
      </c>
      <c r="D139" s="76">
        <v>0</v>
      </c>
      <c r="M139" s="27"/>
      <c r="N139" s="76"/>
    </row>
    <row r="140" spans="1:14" ht="12.75">
      <c r="A140" s="75">
        <v>139</v>
      </c>
      <c r="B140" s="27" t="s">
        <v>566</v>
      </c>
      <c r="C140" s="27">
        <v>0</v>
      </c>
      <c r="D140" s="76">
        <v>0</v>
      </c>
      <c r="M140" s="27"/>
      <c r="N140" s="76"/>
    </row>
  </sheetData>
  <sheetProtection password="ECEE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4"/>
  <sheetViews>
    <sheetView showGridLines="0" workbookViewId="0" topLeftCell="A3">
      <selection activeCell="F21" sqref="F21"/>
    </sheetView>
  </sheetViews>
  <sheetFormatPr defaultColWidth="9.140625" defaultRowHeight="12.75"/>
  <cols>
    <col min="1" max="1" width="14.140625" style="7" bestFit="1" customWidth="1"/>
    <col min="2" max="6" width="9.140625" style="7" customWidth="1"/>
    <col min="7" max="7" width="14.28125" style="7" customWidth="1"/>
    <col min="8" max="16384" width="9.140625" style="7" customWidth="1"/>
  </cols>
  <sheetData>
    <row r="2" spans="1:4" ht="12.75">
      <c r="A2" s="7" t="s">
        <v>61</v>
      </c>
      <c r="D2" s="7" t="s">
        <v>62</v>
      </c>
    </row>
    <row r="3" spans="1:7" ht="12.75">
      <c r="A3" s="7" t="s">
        <v>63</v>
      </c>
      <c r="D3" s="7" t="s">
        <v>426</v>
      </c>
      <c r="G3" s="7" t="s">
        <v>427</v>
      </c>
    </row>
    <row r="5" spans="1:8" ht="12.75">
      <c r="A5" s="7" t="s">
        <v>412</v>
      </c>
      <c r="B5" s="7">
        <v>1</v>
      </c>
      <c r="D5" s="7" t="s">
        <v>412</v>
      </c>
      <c r="E5" s="7">
        <v>1</v>
      </c>
      <c r="G5" s="7" t="s">
        <v>412</v>
      </c>
      <c r="H5" s="7">
        <v>1</v>
      </c>
    </row>
    <row r="6" spans="1:8" ht="12.75">
      <c r="A6" s="84" t="s">
        <v>17</v>
      </c>
      <c r="B6" s="7">
        <v>2</v>
      </c>
      <c r="D6" s="85" t="s">
        <v>288</v>
      </c>
      <c r="E6" s="7">
        <v>2</v>
      </c>
      <c r="G6" s="85" t="s">
        <v>428</v>
      </c>
      <c r="H6" s="7">
        <v>2</v>
      </c>
    </row>
    <row r="7" spans="1:8" ht="12.75">
      <c r="A7" s="84" t="s">
        <v>5</v>
      </c>
      <c r="B7" s="7">
        <v>3</v>
      </c>
      <c r="D7" s="85" t="s">
        <v>394</v>
      </c>
      <c r="E7" s="7">
        <v>3</v>
      </c>
      <c r="G7" s="85" t="s">
        <v>429</v>
      </c>
      <c r="H7" s="7">
        <v>3</v>
      </c>
    </row>
    <row r="8" spans="1:8" ht="12.75">
      <c r="A8" s="84" t="s">
        <v>6</v>
      </c>
      <c r="B8" s="7">
        <v>4</v>
      </c>
      <c r="D8" s="85" t="s">
        <v>374</v>
      </c>
      <c r="E8" s="7">
        <v>4</v>
      </c>
      <c r="G8" s="85" t="s">
        <v>430</v>
      </c>
      <c r="H8" s="7">
        <v>4</v>
      </c>
    </row>
    <row r="9" spans="1:8" ht="12.75">
      <c r="A9" s="84" t="s">
        <v>13</v>
      </c>
      <c r="B9" s="7">
        <v>5</v>
      </c>
      <c r="D9" s="85" t="s">
        <v>305</v>
      </c>
      <c r="E9" s="7">
        <v>5</v>
      </c>
      <c r="G9" s="85" t="s">
        <v>431</v>
      </c>
      <c r="H9" s="7">
        <v>5</v>
      </c>
    </row>
    <row r="10" spans="1:8" ht="12.75">
      <c r="A10" s="84" t="s">
        <v>18</v>
      </c>
      <c r="B10" s="7">
        <v>6</v>
      </c>
      <c r="D10" s="85" t="s">
        <v>173</v>
      </c>
      <c r="E10" s="7">
        <v>6</v>
      </c>
      <c r="G10" s="85" t="s">
        <v>432</v>
      </c>
      <c r="H10" s="7">
        <v>6</v>
      </c>
    </row>
    <row r="11" spans="1:8" ht="12.75">
      <c r="A11" s="84" t="s">
        <v>8</v>
      </c>
      <c r="B11" s="7">
        <v>7</v>
      </c>
      <c r="D11" s="85" t="s">
        <v>411</v>
      </c>
      <c r="E11" s="7">
        <v>7</v>
      </c>
      <c r="G11" s="85" t="s">
        <v>433</v>
      </c>
      <c r="H11" s="7">
        <v>7</v>
      </c>
    </row>
    <row r="12" spans="1:8" ht="12.75">
      <c r="A12" s="84" t="s">
        <v>14</v>
      </c>
      <c r="B12" s="7">
        <v>8</v>
      </c>
      <c r="D12" s="85" t="s">
        <v>356</v>
      </c>
      <c r="E12" s="7">
        <v>8</v>
      </c>
      <c r="G12" s="85" t="s">
        <v>434</v>
      </c>
      <c r="H12" s="7">
        <v>8</v>
      </c>
    </row>
    <row r="13" spans="1:8" ht="12.75">
      <c r="A13" s="84" t="s">
        <v>7</v>
      </c>
      <c r="B13" s="7">
        <v>9</v>
      </c>
      <c r="D13" s="85" t="s">
        <v>222</v>
      </c>
      <c r="E13" s="7">
        <v>9</v>
      </c>
      <c r="G13" s="85" t="s">
        <v>435</v>
      </c>
      <c r="H13" s="7">
        <v>9</v>
      </c>
    </row>
    <row r="14" spans="1:8" ht="12.75">
      <c r="A14" s="84" t="s">
        <v>15</v>
      </c>
      <c r="B14" s="7">
        <v>10</v>
      </c>
      <c r="D14" s="85" t="s">
        <v>212</v>
      </c>
      <c r="E14" s="7">
        <v>10</v>
      </c>
      <c r="G14" s="85" t="s">
        <v>436</v>
      </c>
      <c r="H14" s="7">
        <v>10</v>
      </c>
    </row>
    <row r="15" spans="1:8" ht="12.75">
      <c r="A15" s="84" t="s">
        <v>10</v>
      </c>
      <c r="B15" s="7">
        <v>11</v>
      </c>
      <c r="D15" s="85" t="s">
        <v>263</v>
      </c>
      <c r="E15" s="7">
        <v>11</v>
      </c>
      <c r="G15" s="85" t="s">
        <v>437</v>
      </c>
      <c r="H15" s="7">
        <v>11</v>
      </c>
    </row>
    <row r="16" spans="1:8" ht="12.75">
      <c r="A16" s="84" t="s">
        <v>9</v>
      </c>
      <c r="B16" s="7">
        <v>12</v>
      </c>
      <c r="D16" s="85" t="s">
        <v>19</v>
      </c>
      <c r="E16" s="7">
        <v>12</v>
      </c>
      <c r="G16" s="85" t="s">
        <v>438</v>
      </c>
      <c r="H16" s="7">
        <v>12</v>
      </c>
    </row>
    <row r="17" spans="1:8" ht="12.75">
      <c r="A17" s="84" t="s">
        <v>19</v>
      </c>
      <c r="B17" s="7">
        <v>13</v>
      </c>
      <c r="D17" s="85" t="s">
        <v>106</v>
      </c>
      <c r="E17" s="7">
        <v>13</v>
      </c>
      <c r="G17" s="85" t="s">
        <v>439</v>
      </c>
      <c r="H17" s="7">
        <v>13</v>
      </c>
    </row>
    <row r="18" spans="1:8" ht="12.75">
      <c r="A18" s="84" t="s">
        <v>16</v>
      </c>
      <c r="B18" s="7">
        <v>14</v>
      </c>
      <c r="D18" s="85" t="s">
        <v>322</v>
      </c>
      <c r="E18" s="7">
        <v>14</v>
      </c>
      <c r="G18" s="85" t="s">
        <v>440</v>
      </c>
      <c r="H18" s="7">
        <v>14</v>
      </c>
    </row>
    <row r="19" spans="1:8" ht="12.75">
      <c r="A19" s="84" t="s">
        <v>12</v>
      </c>
      <c r="B19" s="7">
        <v>15</v>
      </c>
      <c r="D19" s="85" t="s">
        <v>190</v>
      </c>
      <c r="E19" s="7">
        <v>15</v>
      </c>
      <c r="G19" s="85" t="s">
        <v>441</v>
      </c>
      <c r="H19" s="7">
        <v>15</v>
      </c>
    </row>
    <row r="20" spans="1:8" ht="12.75">
      <c r="A20" s="84" t="s">
        <v>20</v>
      </c>
      <c r="B20" s="7">
        <v>16</v>
      </c>
      <c r="D20" s="85" t="s">
        <v>116</v>
      </c>
      <c r="E20" s="7">
        <v>16</v>
      </c>
      <c r="G20" s="85" t="s">
        <v>442</v>
      </c>
      <c r="H20" s="7">
        <v>16</v>
      </c>
    </row>
    <row r="21" spans="1:8" ht="12.75">
      <c r="A21" s="84" t="s">
        <v>11</v>
      </c>
      <c r="B21" s="7">
        <v>17</v>
      </c>
      <c r="D21" s="85" t="s">
        <v>147</v>
      </c>
      <c r="E21" s="7">
        <v>17</v>
      </c>
      <c r="G21" s="85" t="s">
        <v>443</v>
      </c>
      <c r="H21" s="7">
        <v>17</v>
      </c>
    </row>
    <row r="22" spans="1:8" ht="12.75">
      <c r="A22" s="84"/>
      <c r="D22" s="85" t="s">
        <v>377</v>
      </c>
      <c r="E22" s="7">
        <v>18</v>
      </c>
      <c r="G22" s="85" t="s">
        <v>444</v>
      </c>
      <c r="H22" s="7">
        <v>18</v>
      </c>
    </row>
    <row r="23" spans="4:8" ht="12.75">
      <c r="D23" s="85" t="s">
        <v>234</v>
      </c>
      <c r="E23" s="7">
        <v>19</v>
      </c>
      <c r="G23" s="85" t="s">
        <v>445</v>
      </c>
      <c r="H23" s="7">
        <v>19</v>
      </c>
    </row>
    <row r="24" spans="4:8" ht="12.75">
      <c r="D24" s="85" t="s">
        <v>146</v>
      </c>
      <c r="E24" s="7">
        <v>20</v>
      </c>
      <c r="G24" s="85" t="s">
        <v>446</v>
      </c>
      <c r="H24" s="7">
        <v>20</v>
      </c>
    </row>
    <row r="25" spans="4:8" ht="12.75">
      <c r="D25" s="85" t="s">
        <v>117</v>
      </c>
      <c r="E25" s="7">
        <v>21</v>
      </c>
      <c r="G25" s="85" t="s">
        <v>447</v>
      </c>
      <c r="H25" s="7">
        <v>21</v>
      </c>
    </row>
    <row r="26" spans="4:8" ht="12.75">
      <c r="D26" s="85" t="s">
        <v>197</v>
      </c>
      <c r="E26" s="7">
        <v>22</v>
      </c>
      <c r="G26" s="85" t="s">
        <v>448</v>
      </c>
      <c r="H26" s="7">
        <v>22</v>
      </c>
    </row>
    <row r="27" spans="4:8" ht="12.75">
      <c r="D27" s="85" t="s">
        <v>329</v>
      </c>
      <c r="E27" s="7">
        <v>23</v>
      </c>
      <c r="G27" s="85" t="s">
        <v>449</v>
      </c>
      <c r="H27" s="7">
        <v>23</v>
      </c>
    </row>
    <row r="28" spans="4:8" ht="12.75">
      <c r="D28" s="85" t="s">
        <v>280</v>
      </c>
      <c r="E28" s="7">
        <v>24</v>
      </c>
      <c r="G28" s="85" t="s">
        <v>450</v>
      </c>
      <c r="H28" s="7">
        <v>24</v>
      </c>
    </row>
    <row r="29" spans="4:8" ht="12.75">
      <c r="D29" s="85" t="s">
        <v>248</v>
      </c>
      <c r="E29" s="7">
        <v>25</v>
      </c>
      <c r="G29" s="85" t="s">
        <v>451</v>
      </c>
      <c r="H29" s="7">
        <v>25</v>
      </c>
    </row>
    <row r="30" spans="4:8" ht="12.75">
      <c r="D30" s="85" t="s">
        <v>105</v>
      </c>
      <c r="E30" s="7">
        <v>26</v>
      </c>
      <c r="G30" s="85" t="s">
        <v>452</v>
      </c>
      <c r="H30" s="7">
        <v>26</v>
      </c>
    </row>
    <row r="31" spans="4:8" ht="12.75">
      <c r="D31" s="85" t="s">
        <v>346</v>
      </c>
      <c r="E31" s="7">
        <v>27</v>
      </c>
      <c r="G31" s="85" t="s">
        <v>453</v>
      </c>
      <c r="H31" s="7">
        <v>27</v>
      </c>
    </row>
    <row r="32" spans="4:8" ht="12.75">
      <c r="D32" s="85" t="s">
        <v>371</v>
      </c>
      <c r="E32" s="7">
        <v>28</v>
      </c>
      <c r="G32" s="85" t="s">
        <v>454</v>
      </c>
      <c r="H32" s="7">
        <v>28</v>
      </c>
    </row>
    <row r="33" spans="4:8" ht="12.75">
      <c r="D33" s="86" t="s">
        <v>43</v>
      </c>
      <c r="E33" s="7">
        <v>29</v>
      </c>
      <c r="G33" s="85" t="s">
        <v>455</v>
      </c>
      <c r="H33" s="7">
        <v>29</v>
      </c>
    </row>
    <row r="34" spans="7:8" ht="12.75">
      <c r="G34" s="85" t="s">
        <v>456</v>
      </c>
      <c r="H34" s="7">
        <v>30</v>
      </c>
    </row>
    <row r="35" spans="7:8" ht="12.75">
      <c r="G35" s="85" t="s">
        <v>457</v>
      </c>
      <c r="H35" s="7">
        <v>31</v>
      </c>
    </row>
    <row r="36" spans="7:8" ht="12.75">
      <c r="G36" s="85" t="s">
        <v>458</v>
      </c>
      <c r="H36" s="7">
        <v>32</v>
      </c>
    </row>
    <row r="37" spans="7:8" ht="12.75">
      <c r="G37" s="85" t="s">
        <v>459</v>
      </c>
      <c r="H37" s="7">
        <v>33</v>
      </c>
    </row>
    <row r="38" spans="7:8" ht="12.75">
      <c r="G38" s="85" t="s">
        <v>460</v>
      </c>
      <c r="H38" s="7">
        <v>34</v>
      </c>
    </row>
    <row r="39" spans="7:8" ht="12.75">
      <c r="G39" s="85" t="s">
        <v>461</v>
      </c>
      <c r="H39" s="7">
        <v>35</v>
      </c>
    </row>
    <row r="40" spans="7:8" ht="12.75">
      <c r="G40" s="85" t="s">
        <v>462</v>
      </c>
      <c r="H40" s="7">
        <v>36</v>
      </c>
    </row>
    <row r="41" spans="7:8" ht="12.75">
      <c r="G41" s="85" t="s">
        <v>463</v>
      </c>
      <c r="H41" s="7">
        <v>37</v>
      </c>
    </row>
    <row r="42" spans="7:8" ht="12.75">
      <c r="G42" s="85" t="s">
        <v>464</v>
      </c>
      <c r="H42" s="7">
        <v>38</v>
      </c>
    </row>
    <row r="43" spans="7:8" ht="12.75">
      <c r="G43" s="85" t="s">
        <v>465</v>
      </c>
      <c r="H43" s="7">
        <v>39</v>
      </c>
    </row>
    <row r="44" spans="7:8" ht="12.75">
      <c r="G44" s="85" t="s">
        <v>466</v>
      </c>
      <c r="H44" s="7">
        <v>40</v>
      </c>
    </row>
    <row r="45" spans="7:8" ht="12.75">
      <c r="G45" s="85" t="s">
        <v>467</v>
      </c>
      <c r="H45" s="7">
        <v>41</v>
      </c>
    </row>
    <row r="46" spans="7:8" ht="12.75">
      <c r="G46" s="85" t="s">
        <v>468</v>
      </c>
      <c r="H46" s="7">
        <v>42</v>
      </c>
    </row>
    <row r="47" spans="7:8" ht="12.75">
      <c r="G47" s="85" t="s">
        <v>469</v>
      </c>
      <c r="H47" s="7">
        <v>43</v>
      </c>
    </row>
    <row r="48" spans="7:8" ht="12.75">
      <c r="G48" s="85" t="s">
        <v>470</v>
      </c>
      <c r="H48" s="7">
        <v>44</v>
      </c>
    </row>
    <row r="49" spans="7:8" ht="12.75">
      <c r="G49" s="85" t="s">
        <v>471</v>
      </c>
      <c r="H49" s="7">
        <v>45</v>
      </c>
    </row>
    <row r="50" spans="7:8" ht="12.75">
      <c r="G50" s="85" t="s">
        <v>472</v>
      </c>
      <c r="H50" s="7">
        <v>46</v>
      </c>
    </row>
    <row r="51" spans="7:8" ht="12.75">
      <c r="G51" s="85" t="s">
        <v>473</v>
      </c>
      <c r="H51" s="7">
        <v>47</v>
      </c>
    </row>
    <row r="52" spans="7:8" ht="12.75">
      <c r="G52" s="85" t="s">
        <v>474</v>
      </c>
      <c r="H52" s="7">
        <v>48</v>
      </c>
    </row>
    <row r="53" spans="7:8" ht="12.75">
      <c r="G53" s="85" t="s">
        <v>475</v>
      </c>
      <c r="H53" s="7">
        <v>49</v>
      </c>
    </row>
    <row r="54" spans="7:8" ht="12.75">
      <c r="G54" s="85" t="s">
        <v>476</v>
      </c>
      <c r="H54" s="7">
        <v>50</v>
      </c>
    </row>
    <row r="55" spans="7:8" ht="12.75">
      <c r="G55" s="85" t="s">
        <v>477</v>
      </c>
      <c r="H55" s="7">
        <v>51</v>
      </c>
    </row>
    <row r="56" spans="7:8" ht="12.75">
      <c r="G56" s="85" t="s">
        <v>478</v>
      </c>
      <c r="H56" s="7">
        <v>52</v>
      </c>
    </row>
    <row r="57" spans="7:8" ht="12.75">
      <c r="G57" s="85" t="s">
        <v>479</v>
      </c>
      <c r="H57" s="7">
        <v>53</v>
      </c>
    </row>
    <row r="58" spans="7:8" ht="12.75">
      <c r="G58" s="85" t="s">
        <v>480</v>
      </c>
      <c r="H58" s="7">
        <v>54</v>
      </c>
    </row>
    <row r="59" spans="7:8" ht="12.75">
      <c r="G59" s="85" t="s">
        <v>481</v>
      </c>
      <c r="H59" s="7">
        <v>55</v>
      </c>
    </row>
    <row r="60" spans="7:8" ht="12.75">
      <c r="G60" s="85" t="s">
        <v>482</v>
      </c>
      <c r="H60" s="7">
        <v>56</v>
      </c>
    </row>
    <row r="61" spans="7:8" ht="12.75">
      <c r="G61" s="85" t="s">
        <v>483</v>
      </c>
      <c r="H61" s="7">
        <v>57</v>
      </c>
    </row>
    <row r="62" spans="7:8" ht="12.75">
      <c r="G62" s="85" t="s">
        <v>484</v>
      </c>
      <c r="H62" s="7">
        <v>58</v>
      </c>
    </row>
    <row r="63" spans="7:8" ht="12.75">
      <c r="G63" s="85" t="s">
        <v>485</v>
      </c>
      <c r="H63" s="7">
        <v>59</v>
      </c>
    </row>
    <row r="64" spans="7:8" ht="12.75">
      <c r="G64" s="85" t="s">
        <v>486</v>
      </c>
      <c r="H64" s="7">
        <v>60</v>
      </c>
    </row>
    <row r="65" spans="7:8" ht="12.75">
      <c r="G65" s="85" t="s">
        <v>487</v>
      </c>
      <c r="H65" s="7">
        <v>61</v>
      </c>
    </row>
    <row r="66" spans="7:8" ht="12.75">
      <c r="G66" s="85" t="s">
        <v>488</v>
      </c>
      <c r="H66" s="7">
        <v>62</v>
      </c>
    </row>
    <row r="67" spans="7:8" ht="12.75">
      <c r="G67" s="85" t="s">
        <v>489</v>
      </c>
      <c r="H67" s="7">
        <v>63</v>
      </c>
    </row>
    <row r="68" spans="7:8" ht="12.75">
      <c r="G68" s="85" t="s">
        <v>490</v>
      </c>
      <c r="H68" s="7">
        <v>64</v>
      </c>
    </row>
    <row r="69" spans="7:8" ht="12.75">
      <c r="G69" s="85" t="s">
        <v>491</v>
      </c>
      <c r="H69" s="7">
        <v>65</v>
      </c>
    </row>
    <row r="70" spans="7:8" ht="12.75">
      <c r="G70" s="85" t="s">
        <v>492</v>
      </c>
      <c r="H70" s="7">
        <v>66</v>
      </c>
    </row>
    <row r="71" spans="7:8" ht="12.75">
      <c r="G71" s="85" t="s">
        <v>493</v>
      </c>
      <c r="H71" s="7">
        <v>67</v>
      </c>
    </row>
    <row r="72" spans="7:8" ht="12.75">
      <c r="G72" s="85" t="s">
        <v>494</v>
      </c>
      <c r="H72" s="7">
        <v>68</v>
      </c>
    </row>
    <row r="73" spans="7:8" ht="12.75">
      <c r="G73" s="85" t="s">
        <v>495</v>
      </c>
      <c r="H73" s="7">
        <v>69</v>
      </c>
    </row>
    <row r="74" spans="7:8" ht="12.75">
      <c r="G74" s="85" t="s">
        <v>496</v>
      </c>
      <c r="H74" s="7">
        <v>70</v>
      </c>
    </row>
    <row r="75" spans="7:8" ht="12.75">
      <c r="G75" s="85" t="s">
        <v>497</v>
      </c>
      <c r="H75" s="7">
        <v>71</v>
      </c>
    </row>
    <row r="76" spans="7:8" ht="12.75">
      <c r="G76" s="85" t="s">
        <v>498</v>
      </c>
      <c r="H76" s="7">
        <v>72</v>
      </c>
    </row>
    <row r="77" spans="7:8" ht="12.75">
      <c r="G77" s="85" t="s">
        <v>499</v>
      </c>
      <c r="H77" s="7">
        <v>73</v>
      </c>
    </row>
    <row r="78" spans="7:8" ht="12.75">
      <c r="G78" s="85" t="s">
        <v>500</v>
      </c>
      <c r="H78" s="7">
        <v>74</v>
      </c>
    </row>
    <row r="79" spans="7:8" ht="12.75">
      <c r="G79" s="85" t="s">
        <v>501</v>
      </c>
      <c r="H79" s="7">
        <v>75</v>
      </c>
    </row>
    <row r="80" spans="7:8" ht="12.75">
      <c r="G80" s="85" t="s">
        <v>502</v>
      </c>
      <c r="H80" s="7">
        <v>76</v>
      </c>
    </row>
    <row r="81" spans="7:8" ht="12.75">
      <c r="G81" s="85" t="s">
        <v>503</v>
      </c>
      <c r="H81" s="7">
        <v>77</v>
      </c>
    </row>
    <row r="82" spans="7:8" ht="12.75">
      <c r="G82" s="85" t="s">
        <v>504</v>
      </c>
      <c r="H82" s="7">
        <v>78</v>
      </c>
    </row>
    <row r="83" spans="7:8" ht="12.75">
      <c r="G83" s="85" t="s">
        <v>505</v>
      </c>
      <c r="H83" s="7">
        <v>79</v>
      </c>
    </row>
    <row r="84" spans="7:8" ht="12.75">
      <c r="G84" s="85" t="s">
        <v>506</v>
      </c>
      <c r="H84" s="7">
        <v>80</v>
      </c>
    </row>
    <row r="85" spans="7:8" ht="12.75">
      <c r="G85" s="85" t="s">
        <v>507</v>
      </c>
      <c r="H85" s="7">
        <v>81</v>
      </c>
    </row>
    <row r="86" spans="7:8" ht="12.75">
      <c r="G86" s="85" t="s">
        <v>508</v>
      </c>
      <c r="H86" s="7">
        <v>82</v>
      </c>
    </row>
    <row r="87" spans="7:8" ht="12.75">
      <c r="G87" s="85" t="s">
        <v>509</v>
      </c>
      <c r="H87" s="7">
        <v>83</v>
      </c>
    </row>
    <row r="88" spans="7:8" ht="12.75">
      <c r="G88" s="85" t="s">
        <v>510</v>
      </c>
      <c r="H88" s="7">
        <v>84</v>
      </c>
    </row>
    <row r="89" spans="7:8" ht="12.75">
      <c r="G89" s="85" t="s">
        <v>511</v>
      </c>
      <c r="H89" s="7">
        <v>85</v>
      </c>
    </row>
    <row r="90" spans="7:8" ht="12.75">
      <c r="G90" s="85" t="s">
        <v>512</v>
      </c>
      <c r="H90" s="7">
        <v>86</v>
      </c>
    </row>
    <row r="91" spans="7:8" ht="12.75">
      <c r="G91" s="85" t="s">
        <v>513</v>
      </c>
      <c r="H91" s="7">
        <v>87</v>
      </c>
    </row>
    <row r="92" spans="7:8" ht="12.75">
      <c r="G92" s="85" t="s">
        <v>514</v>
      </c>
      <c r="H92" s="7">
        <v>88</v>
      </c>
    </row>
    <row r="93" spans="7:8" ht="12.75">
      <c r="G93" s="85" t="s">
        <v>515</v>
      </c>
      <c r="H93" s="7">
        <v>89</v>
      </c>
    </row>
    <row r="94" spans="7:8" ht="12.75">
      <c r="G94" s="85" t="s">
        <v>516</v>
      </c>
      <c r="H94" s="7">
        <v>90</v>
      </c>
    </row>
    <row r="95" spans="7:8" ht="12.75">
      <c r="G95" s="85" t="s">
        <v>517</v>
      </c>
      <c r="H95" s="7">
        <v>91</v>
      </c>
    </row>
    <row r="96" spans="7:8" ht="12.75">
      <c r="G96" s="85" t="s">
        <v>518</v>
      </c>
      <c r="H96" s="7">
        <v>92</v>
      </c>
    </row>
    <row r="97" spans="7:8" ht="12.75">
      <c r="G97" s="85" t="s">
        <v>519</v>
      </c>
      <c r="H97" s="7">
        <v>93</v>
      </c>
    </row>
    <row r="98" spans="7:8" ht="12.75">
      <c r="G98" s="85" t="s">
        <v>520</v>
      </c>
      <c r="H98" s="7">
        <v>94</v>
      </c>
    </row>
    <row r="99" spans="7:8" ht="12.75">
      <c r="G99" s="85" t="s">
        <v>521</v>
      </c>
      <c r="H99" s="7">
        <v>95</v>
      </c>
    </row>
    <row r="100" spans="7:8" ht="12.75">
      <c r="G100" s="85" t="s">
        <v>522</v>
      </c>
      <c r="H100" s="7">
        <v>96</v>
      </c>
    </row>
    <row r="101" spans="7:8" ht="12.75">
      <c r="G101" s="85" t="s">
        <v>523</v>
      </c>
      <c r="H101" s="7">
        <v>97</v>
      </c>
    </row>
    <row r="102" spans="7:8" ht="12.75">
      <c r="G102" s="85" t="s">
        <v>524</v>
      </c>
      <c r="H102" s="7">
        <v>98</v>
      </c>
    </row>
    <row r="103" spans="7:8" ht="12.75">
      <c r="G103" s="85" t="s">
        <v>525</v>
      </c>
      <c r="H103" s="7">
        <v>99</v>
      </c>
    </row>
    <row r="104" spans="7:8" ht="12.75">
      <c r="G104" s="85" t="s">
        <v>526</v>
      </c>
      <c r="H104" s="7">
        <v>100</v>
      </c>
    </row>
    <row r="105" spans="7:8" ht="12.75">
      <c r="G105" s="85" t="s">
        <v>527</v>
      </c>
      <c r="H105" s="7">
        <v>101</v>
      </c>
    </row>
    <row r="106" spans="7:8" ht="12.75">
      <c r="G106" s="85" t="s">
        <v>528</v>
      </c>
      <c r="H106" s="7">
        <v>102</v>
      </c>
    </row>
    <row r="107" spans="7:8" ht="12.75">
      <c r="G107" s="85" t="s">
        <v>529</v>
      </c>
      <c r="H107" s="7">
        <v>103</v>
      </c>
    </row>
    <row r="108" spans="7:8" ht="12.75">
      <c r="G108" s="85" t="s">
        <v>530</v>
      </c>
      <c r="H108" s="7">
        <v>104</v>
      </c>
    </row>
    <row r="109" spans="7:8" ht="12.75">
      <c r="G109" s="85" t="s">
        <v>531</v>
      </c>
      <c r="H109" s="7">
        <v>105</v>
      </c>
    </row>
    <row r="110" spans="7:8" ht="12.75">
      <c r="G110" s="85" t="s">
        <v>532</v>
      </c>
      <c r="H110" s="7">
        <v>106</v>
      </c>
    </row>
    <row r="111" spans="7:8" ht="12.75">
      <c r="G111" s="85" t="s">
        <v>533</v>
      </c>
      <c r="H111" s="7">
        <v>107</v>
      </c>
    </row>
    <row r="112" spans="7:8" ht="12.75">
      <c r="G112" s="85" t="s">
        <v>534</v>
      </c>
      <c r="H112" s="7">
        <v>108</v>
      </c>
    </row>
    <row r="113" spans="7:8" ht="12.75">
      <c r="G113" s="85" t="s">
        <v>535</v>
      </c>
      <c r="H113" s="7">
        <v>109</v>
      </c>
    </row>
    <row r="114" spans="7:8" ht="12.75">
      <c r="G114" s="85" t="s">
        <v>536</v>
      </c>
      <c r="H114" s="7">
        <v>110</v>
      </c>
    </row>
    <row r="115" spans="7:8" ht="12.75">
      <c r="G115" s="85" t="s">
        <v>537</v>
      </c>
      <c r="H115" s="7">
        <v>111</v>
      </c>
    </row>
    <row r="116" spans="7:8" ht="12.75">
      <c r="G116" s="85" t="s">
        <v>538</v>
      </c>
      <c r="H116" s="7">
        <v>112</v>
      </c>
    </row>
    <row r="117" spans="7:8" ht="12.75">
      <c r="G117" s="85" t="s">
        <v>539</v>
      </c>
      <c r="H117" s="7">
        <v>113</v>
      </c>
    </row>
    <row r="118" spans="7:8" ht="12.75">
      <c r="G118" s="85" t="s">
        <v>540</v>
      </c>
      <c r="H118" s="7">
        <v>114</v>
      </c>
    </row>
    <row r="119" spans="7:8" ht="12.75">
      <c r="G119" s="85" t="s">
        <v>541</v>
      </c>
      <c r="H119" s="7">
        <v>115</v>
      </c>
    </row>
    <row r="120" spans="7:8" ht="12.75">
      <c r="G120" s="85" t="s">
        <v>542</v>
      </c>
      <c r="H120" s="7">
        <v>116</v>
      </c>
    </row>
    <row r="121" spans="7:8" ht="12.75">
      <c r="G121" s="85" t="s">
        <v>543</v>
      </c>
      <c r="H121" s="7">
        <v>117</v>
      </c>
    </row>
    <row r="122" spans="7:8" ht="12.75">
      <c r="G122" s="85" t="s">
        <v>544</v>
      </c>
      <c r="H122" s="7">
        <v>118</v>
      </c>
    </row>
    <row r="123" spans="7:8" ht="12.75">
      <c r="G123" s="85" t="s">
        <v>545</v>
      </c>
      <c r="H123" s="7">
        <v>119</v>
      </c>
    </row>
    <row r="124" spans="7:8" ht="12.75">
      <c r="G124" s="85" t="s">
        <v>546</v>
      </c>
      <c r="H124" s="7">
        <v>120</v>
      </c>
    </row>
    <row r="125" spans="7:8" ht="12.75">
      <c r="G125" s="85" t="s">
        <v>547</v>
      </c>
      <c r="H125" s="7">
        <v>121</v>
      </c>
    </row>
    <row r="126" spans="7:8" ht="12.75">
      <c r="G126" s="85" t="s">
        <v>548</v>
      </c>
      <c r="H126" s="7">
        <v>122</v>
      </c>
    </row>
    <row r="127" spans="7:8" ht="12.75">
      <c r="G127" s="85" t="s">
        <v>549</v>
      </c>
      <c r="H127" s="7">
        <v>123</v>
      </c>
    </row>
    <row r="128" spans="7:8" ht="12.75">
      <c r="G128" s="85" t="s">
        <v>550</v>
      </c>
      <c r="H128" s="7">
        <v>124</v>
      </c>
    </row>
    <row r="129" spans="7:8" ht="12.75">
      <c r="G129" s="85" t="s">
        <v>551</v>
      </c>
      <c r="H129" s="7">
        <v>125</v>
      </c>
    </row>
    <row r="130" spans="7:8" ht="12.75">
      <c r="G130" s="85" t="s">
        <v>552</v>
      </c>
      <c r="H130" s="7">
        <v>126</v>
      </c>
    </row>
    <row r="131" spans="7:8" ht="12.75">
      <c r="G131" s="85" t="s">
        <v>553</v>
      </c>
      <c r="H131" s="7">
        <v>127</v>
      </c>
    </row>
    <row r="132" spans="7:8" ht="12.75">
      <c r="G132" s="85" t="s">
        <v>554</v>
      </c>
      <c r="H132" s="7">
        <v>128</v>
      </c>
    </row>
    <row r="133" spans="7:8" ht="12.75">
      <c r="G133" s="85" t="s">
        <v>555</v>
      </c>
      <c r="H133" s="7">
        <v>129</v>
      </c>
    </row>
    <row r="134" spans="7:8" ht="12.75">
      <c r="G134" s="85" t="s">
        <v>556</v>
      </c>
      <c r="H134" s="7">
        <v>130</v>
      </c>
    </row>
    <row r="135" spans="7:8" ht="12.75">
      <c r="G135" s="85" t="s">
        <v>557</v>
      </c>
      <c r="H135" s="7">
        <v>131</v>
      </c>
    </row>
    <row r="136" spans="7:8" ht="12.75">
      <c r="G136" s="85" t="s">
        <v>558</v>
      </c>
      <c r="H136" s="7">
        <v>132</v>
      </c>
    </row>
    <row r="137" spans="7:8" ht="12.75">
      <c r="G137" s="85" t="s">
        <v>559</v>
      </c>
      <c r="H137" s="7">
        <v>133</v>
      </c>
    </row>
    <row r="138" spans="7:8" ht="12.75">
      <c r="G138" s="85" t="s">
        <v>560</v>
      </c>
      <c r="H138" s="7">
        <v>134</v>
      </c>
    </row>
    <row r="139" spans="7:8" ht="12.75">
      <c r="G139" s="85" t="s">
        <v>561</v>
      </c>
      <c r="H139" s="7">
        <v>135</v>
      </c>
    </row>
    <row r="140" spans="7:8" ht="12.75">
      <c r="G140" s="85" t="s">
        <v>562</v>
      </c>
      <c r="H140" s="7">
        <v>136</v>
      </c>
    </row>
    <row r="141" spans="7:8" ht="12.75">
      <c r="G141" s="85" t="s">
        <v>563</v>
      </c>
      <c r="H141" s="7">
        <v>137</v>
      </c>
    </row>
    <row r="142" spans="7:8" ht="12.75">
      <c r="G142" s="85" t="s">
        <v>564</v>
      </c>
      <c r="H142" s="7">
        <v>138</v>
      </c>
    </row>
    <row r="143" spans="7:8" ht="12.75">
      <c r="G143" s="85" t="s">
        <v>565</v>
      </c>
      <c r="H143" s="7">
        <v>139</v>
      </c>
    </row>
    <row r="144" spans="7:8" ht="12.75">
      <c r="G144" s="85" t="s">
        <v>566</v>
      </c>
      <c r="H144" s="7">
        <v>140</v>
      </c>
    </row>
  </sheetData>
  <sheetProtection password="ECE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2008-05-05T14:11:49Z</cp:lastPrinted>
  <dcterms:created xsi:type="dcterms:W3CDTF">2008-04-13T01:23:18Z</dcterms:created>
  <dcterms:modified xsi:type="dcterms:W3CDTF">2008-05-31T08:48:34Z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