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105" activeTab="0"/>
  </bookViews>
  <sheets>
    <sheet name="Euro 2008 Schedule" sheetId="1" r:id="rId1"/>
    <sheet name="Dummy Table" sheetId="2" state="hidden" r:id="rId2"/>
    <sheet name="Language" sheetId="3" state="hidden" r:id="rId3"/>
    <sheet name="Timezone" sheetId="4" state="hidden" r:id="rId4"/>
    <sheet name="Row and Column" sheetId="5" state="hidden" r:id="rId5"/>
  </sheets>
  <definedNames>
    <definedName name="_xlnm.Print_Area" localSheetId="0">'Euro 2008 Schedule'!$A$11:$BJ$88</definedName>
  </definedNames>
  <calcPr fullCalcOnLoad="1"/>
</workbook>
</file>

<file path=xl/sharedStrings.xml><?xml version="1.0" encoding="utf-8"?>
<sst xmlns="http://schemas.openxmlformats.org/spreadsheetml/2006/main" count="1284" uniqueCount="606">
  <si>
    <t>Date</t>
  </si>
  <si>
    <t>Time</t>
  </si>
  <si>
    <t xml:space="preserve">Score </t>
  </si>
  <si>
    <t>-</t>
  </si>
  <si>
    <t>Switzerland</t>
  </si>
  <si>
    <t>Portugal</t>
  </si>
  <si>
    <t>Austria</t>
  </si>
  <si>
    <t>Germany</t>
  </si>
  <si>
    <t>Romania</t>
  </si>
  <si>
    <t>Netherlands</t>
  </si>
  <si>
    <t>Spain</t>
  </si>
  <si>
    <t>Greece</t>
  </si>
  <si>
    <t>Czech Republic</t>
  </si>
  <si>
    <t>Croatia</t>
  </si>
  <si>
    <t>Italy</t>
  </si>
  <si>
    <t>Sweden</t>
  </si>
  <si>
    <t>Turkey</t>
  </si>
  <si>
    <t>Poland</t>
  </si>
  <si>
    <t>France</t>
  </si>
  <si>
    <t>Russia</t>
  </si>
  <si>
    <t>Group A</t>
  </si>
  <si>
    <t>W</t>
  </si>
  <si>
    <t>D</t>
  </si>
  <si>
    <t>L</t>
  </si>
  <si>
    <t>F - A</t>
  </si>
  <si>
    <t>Group B</t>
  </si>
  <si>
    <t>Group C</t>
  </si>
  <si>
    <t>Group D</t>
  </si>
  <si>
    <t>F</t>
  </si>
  <si>
    <t>A</t>
  </si>
  <si>
    <t>Match</t>
  </si>
  <si>
    <t>Win Left</t>
  </si>
  <si>
    <t>Win Right</t>
  </si>
  <si>
    <t>Constant</t>
  </si>
  <si>
    <t>Draw Left</t>
  </si>
  <si>
    <t>Lose Left</t>
  </si>
  <si>
    <t>Draw Right</t>
  </si>
  <si>
    <t>Lose Right</t>
  </si>
  <si>
    <t>Country</t>
  </si>
  <si>
    <t>Turki</t>
  </si>
  <si>
    <t>Swiss</t>
  </si>
  <si>
    <t>Language</t>
  </si>
  <si>
    <t>English</t>
  </si>
  <si>
    <t>Kroasia</t>
  </si>
  <si>
    <t>Jerman</t>
  </si>
  <si>
    <t>Polandia</t>
  </si>
  <si>
    <t>Belanda</t>
  </si>
  <si>
    <t>Italia</t>
  </si>
  <si>
    <t>Rumania</t>
  </si>
  <si>
    <t>Perancis</t>
  </si>
  <si>
    <t>Swedia</t>
  </si>
  <si>
    <t>Spanyol</t>
  </si>
  <si>
    <t>Yunani</t>
  </si>
  <si>
    <t>Rusia</t>
  </si>
  <si>
    <t>SEMIFINAL</t>
  </si>
  <si>
    <t>FINAL</t>
  </si>
  <si>
    <t>:</t>
  </si>
  <si>
    <t>ROW NUMBER</t>
  </si>
  <si>
    <t>COLUMN NUMBER</t>
  </si>
  <si>
    <t>for finding played country</t>
  </si>
  <si>
    <t>Turquie</t>
  </si>
  <si>
    <t>Suisse</t>
  </si>
  <si>
    <t>République tchèque</t>
  </si>
  <si>
    <t>Pologne</t>
  </si>
  <si>
    <t>Allemagne</t>
  </si>
  <si>
    <t>Croatie</t>
  </si>
  <si>
    <t>Autriche</t>
  </si>
  <si>
    <t>Italie</t>
  </si>
  <si>
    <t>Pays-Bas</t>
  </si>
  <si>
    <t>Roumanie</t>
  </si>
  <si>
    <t>Suède</t>
  </si>
  <si>
    <t>Grèce</t>
  </si>
  <si>
    <t>Russie</t>
  </si>
  <si>
    <t>Espagne</t>
  </si>
  <si>
    <t>Türkei</t>
  </si>
  <si>
    <t>Schweiz</t>
  </si>
  <si>
    <t>Tschechische Republik</t>
  </si>
  <si>
    <t>Polen</t>
  </si>
  <si>
    <t>Deutschland</t>
  </si>
  <si>
    <t>Kroatien</t>
  </si>
  <si>
    <t>Österreich</t>
  </si>
  <si>
    <t>Italien</t>
  </si>
  <si>
    <t xml:space="preserve">Niederlande </t>
  </si>
  <si>
    <t>Rumänien</t>
  </si>
  <si>
    <t>Frankreich</t>
  </si>
  <si>
    <t>Schweden</t>
  </si>
  <si>
    <t>Griechenland</t>
  </si>
  <si>
    <t>Russland</t>
  </si>
  <si>
    <t>Spanien</t>
  </si>
  <si>
    <t>Turquía</t>
  </si>
  <si>
    <t>Suiza</t>
  </si>
  <si>
    <t>República Checa</t>
  </si>
  <si>
    <t>Polonia</t>
  </si>
  <si>
    <t>Alemania</t>
  </si>
  <si>
    <t>Croacia</t>
  </si>
  <si>
    <t>Holanda</t>
  </si>
  <si>
    <t>Rumanía</t>
  </si>
  <si>
    <t>Francia</t>
  </si>
  <si>
    <t>Suecia</t>
  </si>
  <si>
    <t>Grecia</t>
  </si>
  <si>
    <t>España</t>
  </si>
  <si>
    <t>Spanish</t>
  </si>
  <si>
    <t>German</t>
  </si>
  <si>
    <t>Turchia</t>
  </si>
  <si>
    <t>Svizzera</t>
  </si>
  <si>
    <t>Portogallo</t>
  </si>
  <si>
    <t>Rep. Ceca</t>
  </si>
  <si>
    <t>Germania</t>
  </si>
  <si>
    <t>Croazia</t>
  </si>
  <si>
    <t>Olanda</t>
  </si>
  <si>
    <t>Svezia</t>
  </si>
  <si>
    <t>Spagna</t>
  </si>
  <si>
    <t>Italian</t>
  </si>
  <si>
    <t>Portuguese</t>
  </si>
  <si>
    <t>Turquia</t>
  </si>
  <si>
    <t>Suíça</t>
  </si>
  <si>
    <t>Polónia</t>
  </si>
  <si>
    <t>Alemanha</t>
  </si>
  <si>
    <t>Croácia</t>
  </si>
  <si>
    <t xml:space="preserve">Áustria </t>
  </si>
  <si>
    <t>Itália</t>
  </si>
  <si>
    <t>Roménia</t>
  </si>
  <si>
    <t>França</t>
  </si>
  <si>
    <t>Suécia</t>
  </si>
  <si>
    <t>Grécia</t>
  </si>
  <si>
    <t>Rússia</t>
  </si>
  <si>
    <t>Espanha</t>
  </si>
  <si>
    <t>Turcja</t>
  </si>
  <si>
    <t>Szwajcaria</t>
  </si>
  <si>
    <t>Portugalia</t>
  </si>
  <si>
    <t>Czechy</t>
  </si>
  <si>
    <t>Polska</t>
  </si>
  <si>
    <t>Niemcy</t>
  </si>
  <si>
    <t>Chorwacja</t>
  </si>
  <si>
    <t>Włochy</t>
  </si>
  <si>
    <t>Holandia</t>
  </si>
  <si>
    <t>Rumunia</t>
  </si>
  <si>
    <t>Francja</t>
  </si>
  <si>
    <t>Szwecja</t>
  </si>
  <si>
    <t>Grecja</t>
  </si>
  <si>
    <t>Rosja</t>
  </si>
  <si>
    <t>Hiszpania</t>
  </si>
  <si>
    <t>Polish</t>
  </si>
  <si>
    <t>Lithuanian</t>
  </si>
  <si>
    <t>Turkija</t>
  </si>
  <si>
    <t>Šveicarija</t>
  </si>
  <si>
    <t>Portugalija</t>
  </si>
  <si>
    <t>Čekija</t>
  </si>
  <si>
    <t>Lenkija</t>
  </si>
  <si>
    <t>Vokietija</t>
  </si>
  <si>
    <t>Kroatija</t>
  </si>
  <si>
    <t>Austrija</t>
  </si>
  <si>
    <t>Italija</t>
  </si>
  <si>
    <t>Olandija</t>
  </si>
  <si>
    <t>Rumunija</t>
  </si>
  <si>
    <t>Prancūzija</t>
  </si>
  <si>
    <t>Švedija</t>
  </si>
  <si>
    <t>Graikija</t>
  </si>
  <si>
    <t>Rusija</t>
  </si>
  <si>
    <t>Ispanija</t>
  </si>
  <si>
    <t>Suïssa</t>
  </si>
  <si>
    <t>República Txeca</t>
  </si>
  <si>
    <t>Polònia</t>
  </si>
  <si>
    <t>Alemanya</t>
  </si>
  <si>
    <t>Croàcia</t>
  </si>
  <si>
    <t>Itàlia</t>
  </si>
  <si>
    <t>Suècia</t>
  </si>
  <si>
    <t>Grècia</t>
  </si>
  <si>
    <t>Espanya</t>
  </si>
  <si>
    <t>Catalan</t>
  </si>
  <si>
    <t>Törökország</t>
  </si>
  <si>
    <t>Svájc</t>
  </si>
  <si>
    <t>Portugália</t>
  </si>
  <si>
    <t>Csehország</t>
  </si>
  <si>
    <t>Lengyelország</t>
  </si>
  <si>
    <t>Németország</t>
  </si>
  <si>
    <t>Horvátország</t>
  </si>
  <si>
    <t>Ausztria</t>
  </si>
  <si>
    <t>Olaszország</t>
  </si>
  <si>
    <t>Hollandia</t>
  </si>
  <si>
    <t>Románia</t>
  </si>
  <si>
    <t>Franciaország</t>
  </si>
  <si>
    <t>Svédország</t>
  </si>
  <si>
    <t>Görögország</t>
  </si>
  <si>
    <t>Oroszország</t>
  </si>
  <si>
    <t>Spanyolország</t>
  </si>
  <si>
    <t>Hungarian</t>
  </si>
  <si>
    <t>Turcia</t>
  </si>
  <si>
    <t>Elvetia</t>
  </si>
  <si>
    <t>Cehia</t>
  </si>
  <si>
    <t>Franta</t>
  </si>
  <si>
    <t>Suedia</t>
  </si>
  <si>
    <t>Spania</t>
  </si>
  <si>
    <t>Romanian</t>
  </si>
  <si>
    <t>Turkije</t>
  </si>
  <si>
    <t>Zwitserland</t>
  </si>
  <si>
    <t>Tjechië</t>
  </si>
  <si>
    <t>Duitsland</t>
  </si>
  <si>
    <t>Kroatië</t>
  </si>
  <si>
    <t>Oostenrijk</t>
  </si>
  <si>
    <t>Italië</t>
  </si>
  <si>
    <t>Nederland</t>
  </si>
  <si>
    <t>Roemenië</t>
  </si>
  <si>
    <t>Frankrijk</t>
  </si>
  <si>
    <t>Zweden</t>
  </si>
  <si>
    <t>Griekenland</t>
  </si>
  <si>
    <t>Rusland</t>
  </si>
  <si>
    <t>Spanje</t>
  </si>
  <si>
    <t>Dutch</t>
  </si>
  <si>
    <t>Tyrkiet</t>
  </si>
  <si>
    <t>Tjekkiet</t>
  </si>
  <si>
    <t>Tyskland</t>
  </si>
  <si>
    <t>Østrig</t>
  </si>
  <si>
    <t>Holland</t>
  </si>
  <si>
    <t>Romanien</t>
  </si>
  <si>
    <t>Frankrig</t>
  </si>
  <si>
    <t>Sverige</t>
  </si>
  <si>
    <t>Grækenland</t>
  </si>
  <si>
    <t>Danish</t>
  </si>
  <si>
    <t>Repubblika Ċeka</t>
  </si>
  <si>
    <t>Polonja</t>
  </si>
  <si>
    <t>Ġermanja</t>
  </si>
  <si>
    <t>Kroazja</t>
  </si>
  <si>
    <t>Italja</t>
  </si>
  <si>
    <t>Rumanija</t>
  </si>
  <si>
    <t>Franza</t>
  </si>
  <si>
    <t>Svezja</t>
  </si>
  <si>
    <t>Greċja</t>
  </si>
  <si>
    <t>Russja</t>
  </si>
  <si>
    <t>Spanja</t>
  </si>
  <si>
    <t>Maltese</t>
  </si>
  <si>
    <t>Turčija</t>
  </si>
  <si>
    <t>Švica</t>
  </si>
  <si>
    <t>Portugalska</t>
  </si>
  <si>
    <t>Češka</t>
  </si>
  <si>
    <t>Nemčija</t>
  </si>
  <si>
    <t>Hrvaška</t>
  </si>
  <si>
    <t>Avstrija</t>
  </si>
  <si>
    <t>Nizozemska</t>
  </si>
  <si>
    <t>Romunija</t>
  </si>
  <si>
    <t>Francija</t>
  </si>
  <si>
    <t>Švedska</t>
  </si>
  <si>
    <t>Grčija</t>
  </si>
  <si>
    <t>Španija</t>
  </si>
  <si>
    <t>Slovenian</t>
  </si>
  <si>
    <t>Turkki</t>
  </si>
  <si>
    <t>Sveitsi</t>
  </si>
  <si>
    <t>Portugali</t>
  </si>
  <si>
    <t>Tsekin tasavalta</t>
  </si>
  <si>
    <t>Puola</t>
  </si>
  <si>
    <t>Saksa</t>
  </si>
  <si>
    <t>Kroatia</t>
  </si>
  <si>
    <t>Itävalta</t>
  </si>
  <si>
    <t>Hollanti</t>
  </si>
  <si>
    <t>Ranska</t>
  </si>
  <si>
    <t>Ruotsi</t>
  </si>
  <si>
    <t>Kreikka</t>
  </si>
  <si>
    <t>Venäjä</t>
  </si>
  <si>
    <t>Espanja</t>
  </si>
  <si>
    <t>Finnish</t>
  </si>
  <si>
    <t>Турска</t>
  </si>
  <si>
    <t>Швајцарска</t>
  </si>
  <si>
    <t>Португалија</t>
  </si>
  <si>
    <t>Чешка</t>
  </si>
  <si>
    <t>Пољска</t>
  </si>
  <si>
    <t>Немачка</t>
  </si>
  <si>
    <t>Хрватска</t>
  </si>
  <si>
    <t>Аустрија</t>
  </si>
  <si>
    <t>Италија</t>
  </si>
  <si>
    <t>Холандија</t>
  </si>
  <si>
    <t>Румунија</t>
  </si>
  <si>
    <t>Француска</t>
  </si>
  <si>
    <t>Шведска</t>
  </si>
  <si>
    <t>Грчка</t>
  </si>
  <si>
    <t>Русија</t>
  </si>
  <si>
    <t>Шпанија</t>
  </si>
  <si>
    <t>Serbian</t>
  </si>
  <si>
    <t>Turqia</t>
  </si>
  <si>
    <t>Zvicra</t>
  </si>
  <si>
    <t>Republika e Çekisë</t>
  </si>
  <si>
    <t>Gjermania</t>
  </si>
  <si>
    <t>Kroacia</t>
  </si>
  <si>
    <t>Franca</t>
  </si>
  <si>
    <t>Greqia</t>
  </si>
  <si>
    <t>Albanian</t>
  </si>
  <si>
    <t>Турция</t>
  </si>
  <si>
    <t>Швейцария</t>
  </si>
  <si>
    <t>Португалия</t>
  </si>
  <si>
    <t>Чехия</t>
  </si>
  <si>
    <t>Полша</t>
  </si>
  <si>
    <t>Германия</t>
  </si>
  <si>
    <t>Хърватия</t>
  </si>
  <si>
    <t>Австрия</t>
  </si>
  <si>
    <t>Италия</t>
  </si>
  <si>
    <t>Холандия</t>
  </si>
  <si>
    <t>Румъния</t>
  </si>
  <si>
    <t>Франция</t>
  </si>
  <si>
    <t>Швеция</t>
  </si>
  <si>
    <t>Гърция</t>
  </si>
  <si>
    <t>Русия</t>
  </si>
  <si>
    <t>Испания</t>
  </si>
  <si>
    <t>Bulgarian</t>
  </si>
  <si>
    <t>Τουρκία</t>
  </si>
  <si>
    <t>Ελβετία</t>
  </si>
  <si>
    <t xml:space="preserve">Πορτογαλία </t>
  </si>
  <si>
    <t>Τσεχία</t>
  </si>
  <si>
    <t>Πολωνία</t>
  </si>
  <si>
    <t>Γερμανία</t>
  </si>
  <si>
    <t xml:space="preserve">Κροατία </t>
  </si>
  <si>
    <t>Αυστρία</t>
  </si>
  <si>
    <t>Ιταλία</t>
  </si>
  <si>
    <t>Ολλανδία</t>
  </si>
  <si>
    <t>Ρομανία</t>
  </si>
  <si>
    <t>Γαλλία</t>
  </si>
  <si>
    <t>Σουηδία</t>
  </si>
  <si>
    <t>Ελλαδα</t>
  </si>
  <si>
    <t>Ρωσσία</t>
  </si>
  <si>
    <t>Ισπανία</t>
  </si>
  <si>
    <t>Greek</t>
  </si>
  <si>
    <t>Польша</t>
  </si>
  <si>
    <t>Хорватия</t>
  </si>
  <si>
    <t>Голландия</t>
  </si>
  <si>
    <t>Румыния</t>
  </si>
  <si>
    <t>Греция</t>
  </si>
  <si>
    <t>Россия</t>
  </si>
  <si>
    <t>Russian</t>
  </si>
  <si>
    <t>Türkiye</t>
  </si>
  <si>
    <t>İsviçre</t>
  </si>
  <si>
    <t>Portekiz</t>
  </si>
  <si>
    <t>Çek Cumhuriyeti</t>
  </si>
  <si>
    <t>Polonya</t>
  </si>
  <si>
    <t>Almanya</t>
  </si>
  <si>
    <t>Hırvatistan</t>
  </si>
  <si>
    <t>Avusturya</t>
  </si>
  <si>
    <t>İtalya</t>
  </si>
  <si>
    <t>Hollanda</t>
  </si>
  <si>
    <t>Romanya</t>
  </si>
  <si>
    <t>Fransa</t>
  </si>
  <si>
    <t>İsveç</t>
  </si>
  <si>
    <t>Yunanistan</t>
  </si>
  <si>
    <t>Rusya</t>
  </si>
  <si>
    <t>İspanya</t>
  </si>
  <si>
    <t>Turkish</t>
  </si>
  <si>
    <t>Turska</t>
  </si>
  <si>
    <t>Švicarska</t>
  </si>
  <si>
    <t>Poljska</t>
  </si>
  <si>
    <t>Njemačka</t>
  </si>
  <si>
    <t>Hrvatska</t>
  </si>
  <si>
    <t>Rumunjska</t>
  </si>
  <si>
    <t>Francuska</t>
  </si>
  <si>
    <t>Grčka</t>
  </si>
  <si>
    <t>Španjolska</t>
  </si>
  <si>
    <t>Croatian</t>
  </si>
  <si>
    <t>Thổ Nhĩ Kỳ</t>
  </si>
  <si>
    <t>Thụy Sỹ</t>
  </si>
  <si>
    <t>Bồ Đào Nha</t>
  </si>
  <si>
    <t>CH Séc</t>
  </si>
  <si>
    <t>Ba Lan</t>
  </si>
  <si>
    <t>Đức</t>
  </si>
  <si>
    <t>Áo</t>
  </si>
  <si>
    <t>Hà Lan</t>
  </si>
  <si>
    <t>Rumani</t>
  </si>
  <si>
    <t>Pháp</t>
  </si>
  <si>
    <t>Thụy Điển</t>
  </si>
  <si>
    <t>Hy Lạp</t>
  </si>
  <si>
    <t>Nga</t>
  </si>
  <si>
    <t>Tây Ban Nha</t>
  </si>
  <si>
    <t>Vietnamese</t>
  </si>
  <si>
    <t>Ceko</t>
  </si>
  <si>
    <t>Itali</t>
  </si>
  <si>
    <t>Bahasa</t>
  </si>
  <si>
    <t>Republik Czech</t>
  </si>
  <si>
    <t>Sepanyol</t>
  </si>
  <si>
    <t>Malay</t>
  </si>
  <si>
    <t>تركيا</t>
  </si>
  <si>
    <t>سويسرا</t>
  </si>
  <si>
    <t>البرتغال</t>
  </si>
  <si>
    <t>جمهورية التشيك</t>
  </si>
  <si>
    <t>بولندا</t>
  </si>
  <si>
    <t>ألمانيا</t>
  </si>
  <si>
    <t>كرواتيا</t>
  </si>
  <si>
    <t>النمسا</t>
  </si>
  <si>
    <t>إيطاليا</t>
  </si>
  <si>
    <t>هولندا</t>
  </si>
  <si>
    <t>رومانيا</t>
  </si>
  <si>
    <t>فرنسا</t>
  </si>
  <si>
    <t>السويد</t>
  </si>
  <si>
    <t>اليونان</t>
  </si>
  <si>
    <t>روسيا</t>
  </si>
  <si>
    <t>أسبانيا</t>
  </si>
  <si>
    <t>Arabic</t>
  </si>
  <si>
    <t>土耳其</t>
  </si>
  <si>
    <t>瑞士</t>
  </si>
  <si>
    <t>葡萄牙</t>
  </si>
  <si>
    <t>捷克</t>
  </si>
  <si>
    <t>波兰</t>
  </si>
  <si>
    <t>德国</t>
  </si>
  <si>
    <t>克罗地亚</t>
  </si>
  <si>
    <t>奥地利</t>
  </si>
  <si>
    <t>意大利</t>
  </si>
  <si>
    <t>荷兰</t>
  </si>
  <si>
    <t>罗马尼亚</t>
  </si>
  <si>
    <t>法国</t>
  </si>
  <si>
    <t>瑞典</t>
  </si>
  <si>
    <t>希腊</t>
  </si>
  <si>
    <t>俄罗斯</t>
  </si>
  <si>
    <t>西班牙</t>
  </si>
  <si>
    <t>Chinese</t>
  </si>
  <si>
    <t>Header</t>
  </si>
  <si>
    <t>19 Jun</t>
  </si>
  <si>
    <t>20 Jun</t>
  </si>
  <si>
    <t>21 Jun</t>
  </si>
  <si>
    <t>22 Jun</t>
  </si>
  <si>
    <t>25 Jun</t>
  </si>
  <si>
    <t>26 Jun</t>
  </si>
  <si>
    <t>29 Jun</t>
  </si>
  <si>
    <t>P</t>
  </si>
  <si>
    <t>Pt</t>
  </si>
  <si>
    <t xml:space="preserve">for finding country language </t>
  </si>
  <si>
    <t>for finding country timezone</t>
  </si>
  <si>
    <t>Addis Ababa</t>
  </si>
  <si>
    <t>Adelaide</t>
  </si>
  <si>
    <t>Aden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</si>
  <si>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</si>
  <si>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</si>
  <si>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</si>
  <si>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</si>
  <si>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</si>
  <si>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</si>
  <si>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 xml:space="preserve">Ankara 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</si>
  <si>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</si>
  <si>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</si>
  <si>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</si>
  <si>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</si>
  <si>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</si>
  <si>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</si>
  <si>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</si>
  <si>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 xml:space="preserve">Barcelona </t>
  </si>
  <si>
    <t>Beijing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</si>
  <si>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</si>
  <si>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</si>
  <si>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</si>
  <si>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</si>
  <si>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</si>
  <si>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</si>
  <si>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</si>
  <si>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</si>
  <si>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</si>
  <si>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 xml:space="preserve">Budapest </t>
  </si>
  <si>
    <t>Buenos Aires</t>
  </si>
  <si>
    <t>Cairo</t>
  </si>
  <si>
    <t>Canberra</t>
  </si>
  <si>
    <t>Cape Town</t>
  </si>
  <si>
    <t>Caracas</t>
  </si>
  <si>
    <t>Casablanca</t>
  </si>
  <si>
    <t xml:space="preserve">Chicago </t>
  </si>
  <si>
    <t xml:space="preserve">Copenhagen </t>
  </si>
  <si>
    <t>Darwin</t>
  </si>
  <si>
    <t xml:space="preserve">Denver </t>
  </si>
  <si>
    <t xml:space="preserve">Detroit </t>
  </si>
  <si>
    <t>Dhaka</t>
  </si>
  <si>
    <t>Dubai</t>
  </si>
  <si>
    <t xml:space="preserve">Dublin </t>
  </si>
  <si>
    <t xml:space="preserve">Edmonton </t>
  </si>
  <si>
    <t xml:space="preserve">Frankfurt </t>
  </si>
  <si>
    <t xml:space="preserve">Geneva 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</si>
  <si>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</si>
  <si>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</si>
  <si>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</si>
  <si>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</si>
  <si>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</si>
  <si>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</si>
  <si>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Hong Kong</t>
  </si>
  <si>
    <t>Honolulu</t>
  </si>
  <si>
    <t xml:space="preserve">Houston </t>
  </si>
  <si>
    <t xml:space="preserve">Indianapolis </t>
  </si>
  <si>
    <t>Islamabad</t>
  </si>
  <si>
    <t xml:space="preserve">Istanbul </t>
  </si>
  <si>
    <t>Jakarta</t>
  </si>
  <si>
    <t xml:space="preserve">Jerusalem </t>
  </si>
  <si>
    <t>Johannesburg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</si>
  <si>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</si>
  <si>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</si>
  <si>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</si>
  <si>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</si>
  <si>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</si>
  <si>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</si>
  <si>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</si>
  <si>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Kuala Lumpur</t>
  </si>
  <si>
    <t>Kuwait City</t>
  </si>
  <si>
    <t xml:space="preserve">Kyiv 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</si>
  <si>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</si>
  <si>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</si>
  <si>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</si>
  <si>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</si>
  <si>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</si>
  <si>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</si>
  <si>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</si>
  <si>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</si>
  <si>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</si>
  <si>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</si>
  <si>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Melbourne</t>
  </si>
  <si>
    <t xml:space="preserve">Mexico City 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</si>
  <si>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</si>
  <si>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</si>
  <si>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</si>
  <si>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</si>
  <si>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</si>
  <si>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</si>
  <si>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 xml:space="preserve">Moscow </t>
  </si>
  <si>
    <t>Mumbai</t>
  </si>
  <si>
    <t>Nairobi</t>
  </si>
  <si>
    <t xml:space="preserve">Nassau 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</si>
  <si>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</si>
  <si>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</si>
  <si>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</si>
  <si>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</si>
  <si>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</si>
  <si>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</si>
  <si>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</si>
  <si>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</si>
  <si>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</si>
  <si>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</si>
  <si>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</si>
  <si>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</si>
  <si>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</si>
  <si>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</si>
  <si>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</si>
  <si>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</si>
  <si>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</si>
  <si>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</si>
  <si>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</si>
  <si>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</si>
  <si>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 xml:space="preserve">Seattle </t>
  </si>
  <si>
    <t>Seoul</t>
  </si>
  <si>
    <t>Shanghai</t>
  </si>
  <si>
    <t>Singapore</t>
  </si>
  <si>
    <t xml:space="preserve">Sofia </t>
  </si>
  <si>
    <t xml:space="preserve">St. John's </t>
  </si>
  <si>
    <t xml:space="preserve">St. Paul </t>
  </si>
  <si>
    <t xml:space="preserve">Stockholm </t>
  </si>
  <si>
    <t>Suva</t>
  </si>
  <si>
    <t>Sydney</t>
  </si>
  <si>
    <t>Taipei</t>
  </si>
  <si>
    <t xml:space="preserve">Tallinn </t>
  </si>
  <si>
    <t>Tashkent</t>
  </si>
  <si>
    <t>Tegucigalpa</t>
  </si>
  <si>
    <t xml:space="preserve">Tehran </t>
  </si>
  <si>
    <t>Tokyo</t>
  </si>
  <si>
    <t xml:space="preserve">Toronto </t>
  </si>
  <si>
    <t xml:space="preserve">Vancouver </t>
  </si>
  <si>
    <t xml:space="preserve">Vienna </t>
  </si>
  <si>
    <t xml:space="preserve">Vladivostok 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</si>
  <si>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</si>
  <si>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</si>
  <si>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</si>
  <si>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</si>
  <si>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</si>
  <si>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</si>
  <si>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City</t>
  </si>
  <si>
    <t xml:space="preserve">CITY DATE AND TIME PREFERENCE </t>
  </si>
  <si>
    <t xml:space="preserve">COUNTRY NAME PREFERENCE </t>
  </si>
  <si>
    <t>Coeffien</t>
  </si>
  <si>
    <t>Pt Rank</t>
  </si>
  <si>
    <t>F Rank</t>
  </si>
  <si>
    <t>Diff Rank</t>
  </si>
  <si>
    <t>Diff</t>
  </si>
  <si>
    <t>First Table</t>
  </si>
  <si>
    <t>Second Table</t>
  </si>
  <si>
    <t>First Match</t>
  </si>
  <si>
    <t>Second Match</t>
  </si>
  <si>
    <t>Score Left</t>
  </si>
  <si>
    <t>Score Right</t>
  </si>
  <si>
    <t>Diff 1 Rank</t>
  </si>
  <si>
    <t>F 1 Rank</t>
  </si>
  <si>
    <t>Coef Rank</t>
  </si>
  <si>
    <t>Coefficien</t>
  </si>
  <si>
    <t>1ST</t>
  </si>
  <si>
    <t>2ND</t>
  </si>
  <si>
    <t>1ST Sort</t>
  </si>
  <si>
    <t>Match Table</t>
  </si>
  <si>
    <t>Match #</t>
  </si>
  <si>
    <t>r musadya</t>
  </si>
  <si>
    <t>QUARTER FINAL</t>
  </si>
  <si>
    <t>Match 25</t>
  </si>
  <si>
    <t>F.T</t>
  </si>
  <si>
    <t>E.T</t>
  </si>
  <si>
    <t>P.S.O</t>
  </si>
  <si>
    <t>Match 29</t>
  </si>
  <si>
    <t>Match 26</t>
  </si>
  <si>
    <t>Match 31</t>
  </si>
  <si>
    <t>Match 27</t>
  </si>
  <si>
    <t>Match 30</t>
  </si>
  <si>
    <t>Match 28</t>
  </si>
  <si>
    <t>Rank</t>
  </si>
  <si>
    <t>GROUP</t>
  </si>
  <si>
    <t>FIRST ROUND</t>
  </si>
  <si>
    <t xml:space="preserve">Venue </t>
  </si>
  <si>
    <t>Basel</t>
  </si>
  <si>
    <t>Venue</t>
  </si>
  <si>
    <t>Vienna</t>
  </si>
  <si>
    <t>CHAMPION</t>
  </si>
  <si>
    <r>
      <t xml:space="preserve">You can fill </t>
    </r>
    <r>
      <rPr>
        <b/>
        <sz val="10"/>
        <rFont val="Verdana"/>
        <family val="2"/>
      </rPr>
      <t>Full Time</t>
    </r>
    <r>
      <rPr>
        <sz val="10"/>
        <rFont val="Verdana"/>
        <family val="2"/>
      </rPr>
      <t xml:space="preserve"> score in the blank blue box in this column</t>
    </r>
  </si>
  <si>
    <r>
      <t xml:space="preserve">You can fill </t>
    </r>
    <r>
      <rPr>
        <b/>
        <sz val="10"/>
        <rFont val="Verdana"/>
        <family val="2"/>
      </rPr>
      <t>Extra Time</t>
    </r>
    <r>
      <rPr>
        <sz val="10"/>
        <rFont val="Verdana"/>
        <family val="2"/>
      </rPr>
      <t xml:space="preserve"> score in the blank blue box in this column</t>
    </r>
  </si>
  <si>
    <r>
      <t xml:space="preserve">You can fill </t>
    </r>
    <r>
      <rPr>
        <b/>
        <sz val="10"/>
        <rFont val="Verdana"/>
        <family val="2"/>
      </rPr>
      <t>Penalty Shoot Out</t>
    </r>
    <r>
      <rPr>
        <sz val="10"/>
        <rFont val="Verdana"/>
        <family val="2"/>
      </rPr>
      <t xml:space="preserve"> score in the blank blue box in this column</t>
    </r>
  </si>
  <si>
    <t>VISIT WWW.EXCELTEMPLATE.NET FOR MORE TEMPLATES AND UPDATES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</si>
</sst>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\-mmm;@"/>
    <numFmt numFmtId="171" formatCode="h:mm;@"/>
    <numFmt numFmtId="172" formatCode="[$-409]h:mm:ss\ AM/PM"/>
    <numFmt numFmtId="173" formatCode="[$-409]m/d/yy\ h:mm\ AM/PM;@"/>
    <numFmt numFmtId="174" formatCode="[$-409]dddd\,\ mmmm\ dd\,\ yyyy"/>
    <numFmt numFmtId="175" formatCode="m/d/yy\ h:mm;@"/>
  </numFmts>
  <fonts count="13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b/>
      <sz val="14"/>
      <color indexed="9"/>
      <name val="Verdana"/>
      <family val="2"/>
    </font>
    <font>
      <b/>
      <sz val="14"/>
      <name val="Verdana"/>
      <family val="2"/>
    </font>
    <font>
      <b/>
      <u val="single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Border="1" applyAlignment="1" applyProtection="1">
      <alignment vertical="center" shrinkToFit="1"/>
      <protection hidden="1"/>
    </xf>
    <xf numFmtId="175" fontId="8" fillId="0" borderId="0" xfId="0" applyNumberFormat="1" applyFont="1" applyBorder="1" applyAlignment="1" applyProtection="1">
      <alignment horizontal="center" vertical="center" shrinkToFit="1"/>
      <protection hidden="1"/>
    </xf>
    <xf numFmtId="170" fontId="8" fillId="0" borderId="0" xfId="0" applyNumberFormat="1" applyFont="1" applyBorder="1" applyAlignment="1" applyProtection="1">
      <alignment horizontal="right" vertical="center" shrinkToFit="1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 hidden="1"/>
    </xf>
    <xf numFmtId="171" fontId="9" fillId="0" borderId="0" xfId="0" applyNumberFormat="1" applyFont="1" applyBorder="1" applyAlignment="1" applyProtection="1">
      <alignment/>
      <protection hidden="1"/>
    </xf>
    <xf numFmtId="0" fontId="9" fillId="0" borderId="0" xfId="0" applyNumberFormat="1" applyFont="1" applyAlignment="1" applyProtection="1">
      <alignment/>
      <protection hidden="1"/>
    </xf>
    <xf numFmtId="171" fontId="9" fillId="0" borderId="0" xfId="0" applyNumberFormat="1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6" fontId="8" fillId="0" borderId="0" xfId="0" applyNumberFormat="1" applyFont="1" applyBorder="1" applyAlignment="1" applyProtection="1">
      <alignment vertical="center"/>
      <protection hidden="1"/>
    </xf>
    <xf numFmtId="175" fontId="9" fillId="0" borderId="0" xfId="0" applyNumberFormat="1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7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17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71" fontId="1" fillId="0" borderId="0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/>
      <protection hidden="1"/>
    </xf>
    <xf numFmtId="170" fontId="1" fillId="0" borderId="0" xfId="0" applyNumberFormat="1" applyFont="1" applyBorder="1" applyAlignment="1" applyProtection="1">
      <alignment horizontal="right" vertical="center"/>
      <protection hidden="1"/>
    </xf>
    <xf numFmtId="171" fontId="1" fillId="0" borderId="0" xfId="0" applyNumberFormat="1" applyFont="1" applyBorder="1" applyAlignment="1" applyProtection="1">
      <alignment horizontal="center" vertical="center"/>
      <protection hidden="1"/>
    </xf>
    <xf numFmtId="16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71" fontId="1" fillId="0" borderId="0" xfId="0" applyNumberFormat="1" applyFont="1" applyBorder="1" applyAlignment="1" applyProtection="1">
      <alignment horizontal="left" vertical="center"/>
      <protection hidden="1"/>
    </xf>
    <xf numFmtId="170" fontId="1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10" xfId="0" applyFont="1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horizontal="left" vertical="center" indent="1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 locked="0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171" fontId="6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1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 locked="0"/>
    </xf>
    <xf numFmtId="0" fontId="1" fillId="4" borderId="0" xfId="0" applyFont="1" applyFill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0" fontId="1" fillId="4" borderId="14" xfId="0" applyFont="1" applyFill="1" applyBorder="1" applyAlignment="1" applyProtection="1">
      <alignment vertical="center"/>
      <protection hidden="1"/>
    </xf>
    <xf numFmtId="0" fontId="6" fillId="4" borderId="0" xfId="0" applyFont="1" applyFill="1" applyAlignment="1" applyProtection="1">
      <alignment vertical="center"/>
      <protection hidden="1"/>
    </xf>
    <xf numFmtId="171" fontId="1" fillId="4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 locked="0"/>
    </xf>
    <xf numFmtId="171" fontId="6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vertical="center"/>
      <protection hidden="1" locked="0"/>
    </xf>
    <xf numFmtId="0" fontId="1" fillId="0" borderId="0" xfId="0" applyFont="1" applyBorder="1" applyAlignment="1" applyProtection="1">
      <alignment horizontal="center" vertical="center"/>
      <protection hidden="1" locked="0"/>
    </xf>
    <xf numFmtId="0" fontId="1" fillId="3" borderId="0" xfId="0" applyFont="1" applyFill="1" applyBorder="1" applyAlignment="1" applyProtection="1">
      <alignment vertical="center"/>
      <protection hidden="1" locked="0"/>
    </xf>
    <xf numFmtId="0" fontId="1" fillId="4" borderId="0" xfId="0" applyFont="1" applyFill="1" applyBorder="1" applyAlignment="1" applyProtection="1">
      <alignment vertical="center"/>
      <protection hidden="1" locked="0"/>
    </xf>
    <xf numFmtId="0" fontId="6" fillId="4" borderId="0" xfId="0" applyFont="1" applyFill="1" applyBorder="1" applyAlignment="1" applyProtection="1">
      <alignment vertical="center"/>
      <protection hidden="1" locked="0"/>
    </xf>
    <xf numFmtId="0" fontId="6" fillId="3" borderId="0" xfId="0" applyFont="1" applyFill="1" applyBorder="1" applyAlignment="1" applyProtection="1">
      <alignment vertical="center"/>
      <protection hidden="1" locked="0"/>
    </xf>
    <xf numFmtId="0" fontId="1" fillId="3" borderId="0" xfId="0" applyFont="1" applyFill="1" applyAlignment="1" applyProtection="1">
      <alignment vertical="center"/>
      <protection hidden="1" locked="0"/>
    </xf>
    <xf numFmtId="0" fontId="6" fillId="4" borderId="0" xfId="0" applyFont="1" applyFill="1" applyBorder="1" applyAlignment="1" applyProtection="1">
      <alignment/>
      <protection hidden="1" locked="0"/>
    </xf>
    <xf numFmtId="0" fontId="6" fillId="2" borderId="0" xfId="0" applyFont="1" applyFill="1" applyBorder="1" applyAlignment="1" applyProtection="1">
      <alignment vertical="center"/>
      <protection hidden="1" locked="0"/>
    </xf>
    <xf numFmtId="0" fontId="1" fillId="5" borderId="0" xfId="0" applyFont="1" applyFill="1" applyAlignment="1" applyProtection="1">
      <alignment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12" fillId="5" borderId="0" xfId="20" applyFont="1" applyFill="1" applyAlignment="1" applyProtection="1">
      <alignment horizontal="center"/>
      <protection hidden="1"/>
    </xf>
    <xf numFmtId="0" fontId="6" fillId="5" borderId="0" xfId="0" applyFont="1" applyFill="1" applyAlignment="1" applyProtection="1">
      <alignment horizontal="center" vertical="center"/>
      <protection hidden="1" locked="0"/>
    </xf>
    <xf numFmtId="49" fontId="6" fillId="5" borderId="0" xfId="0" applyNumberFormat="1" applyFont="1" applyFill="1" applyAlignment="1" applyProtection="1">
      <alignment horizontal="center" vertical="center"/>
      <protection hidden="1" locked="0"/>
    </xf>
    <xf numFmtId="0" fontId="10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333399"/>
      </font>
      <border/>
    </dxf>
    <dxf>
      <font>
        <b/>
        <i val="0"/>
        <color rgb="FF0000FF"/>
      </font>
      <border/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57</xdr:col>
      <xdr:colOff>95250</xdr:colOff>
      <xdr:row>31</xdr:row>
      <xdr:rowOff>152400</xdr:rowOff>
    </xdr:from>
    <xdr:to>
      <xdr:col>62</xdr:col>
      <xdr:colOff>9525</xdr:colOff>
      <xdr:row>47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16900" y="5724525"/>
          <a:ext cx="22860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104775</xdr:colOff>
      <xdr:row>51</xdr:row>
      <xdr:rowOff>104775</xdr:rowOff>
    </xdr:from>
    <xdr:to>
      <xdr:col>62</xdr:col>
      <xdr:colOff>19050</xdr:colOff>
      <xdr:row>58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26425" y="9486900"/>
          <a:ext cx="2286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13</xdr:row>
      <xdr:rowOff>95250</xdr:rowOff>
    </xdr:from>
    <xdr:to>
      <xdr:col>3</xdr:col>
      <xdr:colOff>304800</xdr:colOff>
      <xdr:row>17</xdr:row>
      <xdr:rowOff>66675</xdr:rowOff>
    </xdr:to>
    <xdr:sp>
      <xdr:nvSpPr>
        <xdr:cNvPr id="3" name="AutoShape 19"/>
        <xdr:cNvSpPr>
          <a:spLocks/>
        </xdr:cNvSpPr>
      </xdr:nvSpPr>
      <xdr:spPr>
        <a:xfrm rot="5400000">
          <a:off x="371475" y="2238375"/>
          <a:ext cx="733425" cy="733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53881" dir="2700000" algn="ctr">
                  <a:srgbClr val="CBCBCB">
                    <a:alpha val="80000"/>
                  </a:srgbClr>
                </a:outerShdw>
              </a:effectLst>
              <a:latin typeface="Verdana"/>
              <a:cs typeface="Verdana"/>
            </a:rPr>
            <a:t>A</a:t>
          </a:r>
        </a:p>
      </xdr:txBody>
    </xdr:sp>
    <xdr:clientData/>
  </xdr:twoCellAnchor>
  <xdr:twoCellAnchor>
    <xdr:from>
      <xdr:col>2</xdr:col>
      <xdr:colOff>66675</xdr:colOff>
      <xdr:row>32</xdr:row>
      <xdr:rowOff>95250</xdr:rowOff>
    </xdr:from>
    <xdr:to>
      <xdr:col>3</xdr:col>
      <xdr:colOff>342900</xdr:colOff>
      <xdr:row>36</xdr:row>
      <xdr:rowOff>114300</xdr:rowOff>
    </xdr:to>
    <xdr:sp>
      <xdr:nvSpPr>
        <xdr:cNvPr id="4" name="AutoShape 20"/>
        <xdr:cNvSpPr>
          <a:spLocks/>
        </xdr:cNvSpPr>
      </xdr:nvSpPr>
      <xdr:spPr>
        <a:xfrm rot="5400000">
          <a:off x="390525" y="5857875"/>
          <a:ext cx="752475" cy="781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3881" dir="2700000" algn="ctr">
                  <a:srgbClr val="CBCBCB">
                    <a:alpha val="80000"/>
                  </a:srgbClr>
                </a:outerShdw>
              </a:effectLst>
              <a:latin typeface="Verdana"/>
              <a:cs typeface="Verdana"/>
            </a:rPr>
            <a:t>B</a:t>
          </a:r>
        </a:p>
      </xdr:txBody>
    </xdr:sp>
    <xdr:clientData/>
  </xdr:twoCellAnchor>
  <xdr:twoCellAnchor>
    <xdr:from>
      <xdr:col>2</xdr:col>
      <xdr:colOff>66675</xdr:colOff>
      <xdr:row>51</xdr:row>
      <xdr:rowOff>95250</xdr:rowOff>
    </xdr:from>
    <xdr:to>
      <xdr:col>3</xdr:col>
      <xdr:colOff>342900</xdr:colOff>
      <xdr:row>55</xdr:row>
      <xdr:rowOff>114300</xdr:rowOff>
    </xdr:to>
    <xdr:sp>
      <xdr:nvSpPr>
        <xdr:cNvPr id="5" name="AutoShape 25"/>
        <xdr:cNvSpPr>
          <a:spLocks/>
        </xdr:cNvSpPr>
      </xdr:nvSpPr>
      <xdr:spPr>
        <a:xfrm rot="5400000">
          <a:off x="390525" y="9477375"/>
          <a:ext cx="752475" cy="781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effectLst>
                <a:outerShdw dist="53881" dir="2700000" algn="ctr">
                  <a:srgbClr val="CBCBCB">
                    <a:alpha val="80000"/>
                  </a:srgbClr>
                </a:outerShdw>
              </a:effectLst>
              <a:latin typeface="Verdana"/>
              <a:cs typeface="Verdana"/>
            </a:rPr>
            <a:t>C</a:t>
          </a:r>
        </a:p>
      </xdr:txBody>
    </xdr:sp>
    <xdr:clientData/>
  </xdr:twoCellAnchor>
  <xdr:twoCellAnchor>
    <xdr:from>
      <xdr:col>2</xdr:col>
      <xdr:colOff>66675</xdr:colOff>
      <xdr:row>70</xdr:row>
      <xdr:rowOff>95250</xdr:rowOff>
    </xdr:from>
    <xdr:to>
      <xdr:col>3</xdr:col>
      <xdr:colOff>342900</xdr:colOff>
      <xdr:row>74</xdr:row>
      <xdr:rowOff>114300</xdr:rowOff>
    </xdr:to>
    <xdr:sp>
      <xdr:nvSpPr>
        <xdr:cNvPr id="6" name="AutoShape 26"/>
        <xdr:cNvSpPr>
          <a:spLocks/>
        </xdr:cNvSpPr>
      </xdr:nvSpPr>
      <xdr:spPr>
        <a:xfrm rot="5400000">
          <a:off x="390525" y="13096875"/>
          <a:ext cx="752475" cy="781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6"/>
                <a:srcRect/>
                <a:stretch>
                  <a:fillRect/>
                </a:stretch>
              </a:blipFill>
              <a:effectLst>
                <a:outerShdw dist="53881" dir="2700000" algn="ctr">
                  <a:srgbClr val="CBCBCB">
                    <a:alpha val="80000"/>
                  </a:srgbClr>
                </a:outerShdw>
              </a:effectLst>
              <a:latin typeface="Verdana"/>
              <a:cs typeface="Verdana"/>
            </a:rPr>
            <a:t>D</a:t>
          </a:r>
        </a:p>
      </xdr:txBody>
    </xdr:sp>
    <xdr:clientData/>
  </xdr:twoCellAnchor>
  <xdr:twoCellAnchor>
    <xdr:from>
      <xdr:col>26</xdr:col>
      <xdr:colOff>114300</xdr:colOff>
      <xdr:row>6</xdr:row>
      <xdr:rowOff>0</xdr:rowOff>
    </xdr:from>
    <xdr:to>
      <xdr:col>26</xdr:col>
      <xdr:colOff>390525</xdr:colOff>
      <xdr:row>9</xdr:row>
      <xdr:rowOff>9525</xdr:rowOff>
    </xdr:to>
    <xdr:sp>
      <xdr:nvSpPr>
        <xdr:cNvPr id="7" name="AutoShape 112"/>
        <xdr:cNvSpPr>
          <a:spLocks/>
        </xdr:cNvSpPr>
      </xdr:nvSpPr>
      <xdr:spPr>
        <a:xfrm>
          <a:off x="10496550" y="971550"/>
          <a:ext cx="276225" cy="438150"/>
        </a:xfrm>
        <a:prstGeom prst="down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5</xdr:row>
      <xdr:rowOff>152400</xdr:rowOff>
    </xdr:from>
    <xdr:to>
      <xdr:col>28</xdr:col>
      <xdr:colOff>371475</xdr:colOff>
      <xdr:row>9</xdr:row>
      <xdr:rowOff>0</xdr:rowOff>
    </xdr:to>
    <xdr:sp>
      <xdr:nvSpPr>
        <xdr:cNvPr id="8" name="AutoShape 113"/>
        <xdr:cNvSpPr>
          <a:spLocks/>
        </xdr:cNvSpPr>
      </xdr:nvSpPr>
      <xdr:spPr>
        <a:xfrm>
          <a:off x="11144250" y="962025"/>
          <a:ext cx="276225" cy="438150"/>
        </a:xfrm>
        <a:prstGeom prst="down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5</xdr:row>
      <xdr:rowOff>152400</xdr:rowOff>
    </xdr:from>
    <xdr:to>
      <xdr:col>24</xdr:col>
      <xdr:colOff>390525</xdr:colOff>
      <xdr:row>9</xdr:row>
      <xdr:rowOff>0</xdr:rowOff>
    </xdr:to>
    <xdr:sp>
      <xdr:nvSpPr>
        <xdr:cNvPr id="9" name="AutoShape 114"/>
        <xdr:cNvSpPr>
          <a:spLocks/>
        </xdr:cNvSpPr>
      </xdr:nvSpPr>
      <xdr:spPr>
        <a:xfrm>
          <a:off x="9829800" y="962025"/>
          <a:ext cx="276225" cy="438150"/>
        </a:xfrm>
        <a:prstGeom prst="down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2</xdr:row>
      <xdr:rowOff>180975</xdr:rowOff>
    </xdr:from>
    <xdr:to>
      <xdr:col>28</xdr:col>
      <xdr:colOff>304800</xdr:colOff>
      <xdr:row>6</xdr:row>
      <xdr:rowOff>0</xdr:rowOff>
    </xdr:to>
    <xdr:sp>
      <xdr:nvSpPr>
        <xdr:cNvPr id="10" name="Rectangle 115"/>
        <xdr:cNvSpPr>
          <a:spLocks/>
        </xdr:cNvSpPr>
      </xdr:nvSpPr>
      <xdr:spPr>
        <a:xfrm>
          <a:off x="11210925" y="504825"/>
          <a:ext cx="142875" cy="46672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11" name="Rectangle 116"/>
        <xdr:cNvSpPr>
          <a:spLocks/>
        </xdr:cNvSpPr>
      </xdr:nvSpPr>
      <xdr:spPr>
        <a:xfrm>
          <a:off x="9715500" y="971550"/>
          <a:ext cx="4762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114300</xdr:colOff>
      <xdr:row>6</xdr:row>
      <xdr:rowOff>0</xdr:rowOff>
    </xdr:from>
    <xdr:to>
      <xdr:col>39</xdr:col>
      <xdr:colOff>390525</xdr:colOff>
      <xdr:row>9</xdr:row>
      <xdr:rowOff>9525</xdr:rowOff>
    </xdr:to>
    <xdr:sp>
      <xdr:nvSpPr>
        <xdr:cNvPr id="12" name="AutoShape 117"/>
        <xdr:cNvSpPr>
          <a:spLocks/>
        </xdr:cNvSpPr>
      </xdr:nvSpPr>
      <xdr:spPr>
        <a:xfrm>
          <a:off x="14954250" y="971550"/>
          <a:ext cx="276225" cy="438150"/>
        </a:xfrm>
        <a:prstGeom prst="down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5</xdr:row>
      <xdr:rowOff>152400</xdr:rowOff>
    </xdr:from>
    <xdr:to>
      <xdr:col>41</xdr:col>
      <xdr:colOff>371475</xdr:colOff>
      <xdr:row>9</xdr:row>
      <xdr:rowOff>0</xdr:rowOff>
    </xdr:to>
    <xdr:sp>
      <xdr:nvSpPr>
        <xdr:cNvPr id="13" name="AutoShape 118"/>
        <xdr:cNvSpPr>
          <a:spLocks/>
        </xdr:cNvSpPr>
      </xdr:nvSpPr>
      <xdr:spPr>
        <a:xfrm>
          <a:off x="15601950" y="962025"/>
          <a:ext cx="276225" cy="438150"/>
        </a:xfrm>
        <a:prstGeom prst="down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114300</xdr:colOff>
      <xdr:row>5</xdr:row>
      <xdr:rowOff>152400</xdr:rowOff>
    </xdr:from>
    <xdr:to>
      <xdr:col>37</xdr:col>
      <xdr:colOff>390525</xdr:colOff>
      <xdr:row>9</xdr:row>
      <xdr:rowOff>0</xdr:rowOff>
    </xdr:to>
    <xdr:sp>
      <xdr:nvSpPr>
        <xdr:cNvPr id="14" name="AutoShape 119"/>
        <xdr:cNvSpPr>
          <a:spLocks/>
        </xdr:cNvSpPr>
      </xdr:nvSpPr>
      <xdr:spPr>
        <a:xfrm>
          <a:off x="14287500" y="962025"/>
          <a:ext cx="276225" cy="438150"/>
        </a:xfrm>
        <a:prstGeom prst="down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161925</xdr:colOff>
      <xdr:row>2</xdr:row>
      <xdr:rowOff>180975</xdr:rowOff>
    </xdr:from>
    <xdr:to>
      <xdr:col>41</xdr:col>
      <xdr:colOff>304800</xdr:colOff>
      <xdr:row>6</xdr:row>
      <xdr:rowOff>0</xdr:rowOff>
    </xdr:to>
    <xdr:sp>
      <xdr:nvSpPr>
        <xdr:cNvPr id="15" name="Rectangle 120"/>
        <xdr:cNvSpPr>
          <a:spLocks/>
        </xdr:cNvSpPr>
      </xdr:nvSpPr>
      <xdr:spPr>
        <a:xfrm>
          <a:off x="15668625" y="504825"/>
          <a:ext cx="142875" cy="46672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38</xdr:col>
      <xdr:colOff>0</xdr:colOff>
      <xdr:row>7</xdr:row>
      <xdr:rowOff>0</xdr:rowOff>
    </xdr:to>
    <xdr:sp>
      <xdr:nvSpPr>
        <xdr:cNvPr id="16" name="Rectangle 121"/>
        <xdr:cNvSpPr>
          <a:spLocks/>
        </xdr:cNvSpPr>
      </xdr:nvSpPr>
      <xdr:spPr>
        <a:xfrm>
          <a:off x="14173200" y="971550"/>
          <a:ext cx="4762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6</xdr:row>
      <xdr:rowOff>0</xdr:rowOff>
    </xdr:from>
    <xdr:to>
      <xdr:col>52</xdr:col>
      <xdr:colOff>390525</xdr:colOff>
      <xdr:row>9</xdr:row>
      <xdr:rowOff>9525</xdr:rowOff>
    </xdr:to>
    <xdr:sp>
      <xdr:nvSpPr>
        <xdr:cNvPr id="17" name="AutoShape 122"/>
        <xdr:cNvSpPr>
          <a:spLocks/>
        </xdr:cNvSpPr>
      </xdr:nvSpPr>
      <xdr:spPr>
        <a:xfrm>
          <a:off x="19411950" y="971550"/>
          <a:ext cx="276225" cy="438150"/>
        </a:xfrm>
        <a:prstGeom prst="down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95250</xdr:colOff>
      <xdr:row>5</xdr:row>
      <xdr:rowOff>152400</xdr:rowOff>
    </xdr:from>
    <xdr:to>
      <xdr:col>54</xdr:col>
      <xdr:colOff>371475</xdr:colOff>
      <xdr:row>9</xdr:row>
      <xdr:rowOff>0</xdr:rowOff>
    </xdr:to>
    <xdr:sp>
      <xdr:nvSpPr>
        <xdr:cNvPr id="18" name="AutoShape 123"/>
        <xdr:cNvSpPr>
          <a:spLocks/>
        </xdr:cNvSpPr>
      </xdr:nvSpPr>
      <xdr:spPr>
        <a:xfrm>
          <a:off x="20059650" y="962025"/>
          <a:ext cx="276225" cy="438150"/>
        </a:xfrm>
        <a:prstGeom prst="down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5</xdr:row>
      <xdr:rowOff>152400</xdr:rowOff>
    </xdr:from>
    <xdr:to>
      <xdr:col>50</xdr:col>
      <xdr:colOff>390525</xdr:colOff>
      <xdr:row>9</xdr:row>
      <xdr:rowOff>0</xdr:rowOff>
    </xdr:to>
    <xdr:sp>
      <xdr:nvSpPr>
        <xdr:cNvPr id="19" name="AutoShape 124"/>
        <xdr:cNvSpPr>
          <a:spLocks/>
        </xdr:cNvSpPr>
      </xdr:nvSpPr>
      <xdr:spPr>
        <a:xfrm>
          <a:off x="18745200" y="962025"/>
          <a:ext cx="276225" cy="438150"/>
        </a:xfrm>
        <a:prstGeom prst="downArrow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161925</xdr:colOff>
      <xdr:row>2</xdr:row>
      <xdr:rowOff>180975</xdr:rowOff>
    </xdr:from>
    <xdr:to>
      <xdr:col>54</xdr:col>
      <xdr:colOff>304800</xdr:colOff>
      <xdr:row>6</xdr:row>
      <xdr:rowOff>0</xdr:rowOff>
    </xdr:to>
    <xdr:sp>
      <xdr:nvSpPr>
        <xdr:cNvPr id="20" name="Rectangle 125"/>
        <xdr:cNvSpPr>
          <a:spLocks/>
        </xdr:cNvSpPr>
      </xdr:nvSpPr>
      <xdr:spPr>
        <a:xfrm>
          <a:off x="20126325" y="504825"/>
          <a:ext cx="142875" cy="46672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51</xdr:col>
      <xdr:colOff>0</xdr:colOff>
      <xdr:row>7</xdr:row>
      <xdr:rowOff>0</xdr:rowOff>
    </xdr:to>
    <xdr:sp>
      <xdr:nvSpPr>
        <xdr:cNvPr id="21" name="Rectangle 126"/>
        <xdr:cNvSpPr>
          <a:spLocks/>
        </xdr:cNvSpPr>
      </xdr:nvSpPr>
      <xdr:spPr>
        <a:xfrm>
          <a:off x="18630900" y="971550"/>
          <a:ext cx="4762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104775</xdr:colOff>
      <xdr:row>39</xdr:row>
      <xdr:rowOff>66675</xdr:rowOff>
    </xdr:from>
    <xdr:to>
      <xdr:col>61</xdr:col>
      <xdr:colOff>76200</xdr:colOff>
      <xdr:row>41</xdr:row>
      <xdr:rowOff>9525</xdr:rowOff>
    </xdr:to>
    <xdr:sp>
      <xdr:nvSpPr>
        <xdr:cNvPr id="22" name="AutoShape 127"/>
        <xdr:cNvSpPr>
          <a:spLocks/>
        </xdr:cNvSpPr>
      </xdr:nvSpPr>
      <xdr:spPr>
        <a:xfrm>
          <a:off x="21116925" y="7162800"/>
          <a:ext cx="19145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CHAMPION OF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165"/>
  <sheetViews>
    <sheetView showGridLines="0" tabSelected="1" zoomScale="80" zoomScaleNormal="80" workbookViewId="0" topLeftCell="A1">
      <pane ySplit="11" topLeftCell="BM12" activePane="bottomLeft" state="frozen"/>
      <selection pane="topLeft" activeCell="A1" sqref="A1"/>
      <selection pane="bottomLeft" activeCell="L24" sqref="L24"/>
    </sheetView>
  </sheetViews>
  <sheetFormatPr defaultColWidth="9.140625" defaultRowHeight="12.75"/>
  <cols>
    <col min="1" max="2" width="2.421875" style="57" customWidth="1"/>
    <col min="3" max="3" width="7.140625" style="57" customWidth="1"/>
    <col min="4" max="4" width="8.57421875" style="57" customWidth="1"/>
    <col min="5" max="5" width="7.140625" style="57" customWidth="1"/>
    <col min="6" max="6" width="2.421875" style="57" customWidth="1"/>
    <col min="7" max="7" width="21.7109375" style="57" customWidth="1"/>
    <col min="8" max="11" width="7.140625" style="57" customWidth="1"/>
    <col min="12" max="12" width="10.00390625" style="57" customWidth="1"/>
    <col min="13" max="13" width="7.140625" style="57" customWidth="1"/>
    <col min="14" max="18" width="2.8515625" style="57" customWidth="1"/>
    <col min="19" max="19" width="2.7109375" style="47" customWidth="1"/>
    <col min="20" max="20" width="9.140625" style="47" customWidth="1"/>
    <col min="21" max="21" width="2.8515625" style="47" customWidth="1"/>
    <col min="22" max="22" width="9.140625" style="47" customWidth="1"/>
    <col min="23" max="23" width="7.140625" style="47" customWidth="1"/>
    <col min="24" max="24" width="2.8515625" style="47" customWidth="1"/>
    <col min="25" max="25" width="7.140625" style="47" customWidth="1"/>
    <col min="26" max="26" width="2.8515625" style="47" customWidth="1"/>
    <col min="27" max="27" width="7.140625" style="47" customWidth="1"/>
    <col min="28" max="28" width="2.8515625" style="47" customWidth="1"/>
    <col min="29" max="29" width="7.140625" style="47" customWidth="1"/>
    <col min="30" max="32" width="2.8515625" style="46" customWidth="1"/>
    <col min="33" max="33" width="9.140625" style="46" customWidth="1"/>
    <col min="34" max="34" width="2.8515625" style="46" customWidth="1"/>
    <col min="35" max="35" width="9.140625" style="46" customWidth="1"/>
    <col min="36" max="36" width="7.140625" style="46" customWidth="1"/>
    <col min="37" max="37" width="2.8515625" style="46" customWidth="1"/>
    <col min="38" max="38" width="7.140625" style="46" customWidth="1"/>
    <col min="39" max="39" width="2.8515625" style="46" customWidth="1"/>
    <col min="40" max="40" width="7.140625" style="46" customWidth="1"/>
    <col min="41" max="41" width="2.8515625" style="46" customWidth="1"/>
    <col min="42" max="42" width="7.140625" style="46" customWidth="1"/>
    <col min="43" max="44" width="2.8515625" style="46" customWidth="1"/>
    <col min="45" max="45" width="2.8515625" style="47" customWidth="1"/>
    <col min="46" max="46" width="9.140625" style="47" customWidth="1"/>
    <col min="47" max="47" width="2.8515625" style="47" customWidth="1"/>
    <col min="48" max="48" width="9.140625" style="47" customWidth="1"/>
    <col min="49" max="49" width="7.140625" style="47" customWidth="1"/>
    <col min="50" max="50" width="2.8515625" style="47" customWidth="1"/>
    <col min="51" max="51" width="7.140625" style="47" customWidth="1"/>
    <col min="52" max="52" width="2.8515625" style="47" customWidth="1"/>
    <col min="53" max="53" width="7.140625" style="47" customWidth="1"/>
    <col min="54" max="54" width="2.8515625" style="47" customWidth="1"/>
    <col min="55" max="55" width="7.140625" style="47" customWidth="1"/>
    <col min="56" max="56" width="2.8515625" style="47" customWidth="1"/>
    <col min="57" max="58" width="2.8515625" style="58" customWidth="1"/>
    <col min="59" max="59" width="14.7109375" style="57" bestFit="1" customWidth="1"/>
    <col min="60" max="60" width="9.140625" style="57" customWidth="1"/>
    <col min="61" max="61" width="5.28125" style="57" customWidth="1"/>
    <col min="62" max="62" width="3.57421875" style="57" customWidth="1"/>
    <col min="63" max="16384" width="9.140625" style="57" customWidth="1"/>
  </cols>
  <sheetData>
    <row r="1" spans="58:59" ht="12.75">
      <c r="BF1" s="59"/>
      <c r="BG1" s="59"/>
    </row>
    <row r="2" spans="19:59" ht="12.75" customHeight="1">
      <c r="S2" s="136" t="s">
        <v>604</v>
      </c>
      <c r="T2" s="136"/>
      <c r="U2" s="136"/>
      <c r="V2" s="136"/>
      <c r="W2" s="136"/>
      <c r="X2" s="136"/>
      <c r="Y2" s="136"/>
      <c r="Z2" s="136"/>
      <c r="AA2" s="136"/>
      <c r="AB2" s="136"/>
      <c r="AC2" s="136"/>
      <c r="AF2" s="136" t="s">
        <v>604</v>
      </c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S2" s="136" t="s">
        <v>604</v>
      </c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F2" s="59"/>
      <c r="BG2" s="59"/>
    </row>
    <row r="3" spans="3:59" ht="15" customHeight="1">
      <c r="C3" s="60" t="s">
        <v>561</v>
      </c>
      <c r="H3" s="125" t="s">
        <v>56</v>
      </c>
      <c r="I3" s="138" t="s">
        <v>42</v>
      </c>
      <c r="J3" s="138"/>
      <c r="K3" s="138"/>
      <c r="L3" s="138"/>
      <c r="N3" s="47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F3" s="59"/>
      <c r="BG3" s="59"/>
    </row>
    <row r="4" spans="8:135" ht="8.25" customHeight="1">
      <c r="H4" s="125"/>
      <c r="J4" s="1"/>
      <c r="L4" s="124"/>
      <c r="N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BF4" s="59"/>
      <c r="BG4" s="59"/>
      <c r="EE4" s="59" t="s">
        <v>582</v>
      </c>
    </row>
    <row r="5" spans="3:136" ht="15" customHeight="1">
      <c r="C5" s="60" t="s">
        <v>560</v>
      </c>
      <c r="H5" s="125" t="s">
        <v>56</v>
      </c>
      <c r="I5" s="139" t="s">
        <v>551</v>
      </c>
      <c r="J5" s="139"/>
      <c r="K5" s="139"/>
      <c r="L5" s="139"/>
      <c r="N5" s="47"/>
      <c r="S5" s="136" t="s">
        <v>603</v>
      </c>
      <c r="T5" s="136"/>
      <c r="U5" s="136"/>
      <c r="V5" s="136"/>
      <c r="W5" s="136"/>
      <c r="X5" s="136"/>
      <c r="Y5" s="136"/>
      <c r="Z5" s="136"/>
      <c r="AA5" s="136"/>
      <c r="AF5" s="136" t="s">
        <v>603</v>
      </c>
      <c r="AG5" s="136"/>
      <c r="AH5" s="136"/>
      <c r="AI5" s="136"/>
      <c r="AJ5" s="136"/>
      <c r="AK5" s="136"/>
      <c r="AL5" s="136"/>
      <c r="AM5" s="136"/>
      <c r="AN5" s="136"/>
      <c r="AO5" s="47"/>
      <c r="AP5" s="47"/>
      <c r="AS5" s="136" t="s">
        <v>603</v>
      </c>
      <c r="AT5" s="136"/>
      <c r="AU5" s="136"/>
      <c r="AV5" s="136"/>
      <c r="AW5" s="136"/>
      <c r="AX5" s="136"/>
      <c r="AY5" s="136"/>
      <c r="AZ5" s="136"/>
      <c r="BA5" s="136"/>
      <c r="EE5" s="59"/>
      <c r="EF5" s="59"/>
    </row>
    <row r="6" spans="12:136" ht="12.75">
      <c r="L6" s="124"/>
      <c r="S6" s="136"/>
      <c r="T6" s="136"/>
      <c r="U6" s="136"/>
      <c r="V6" s="136"/>
      <c r="W6" s="136"/>
      <c r="X6" s="136"/>
      <c r="Y6" s="136"/>
      <c r="Z6" s="136"/>
      <c r="AA6" s="136"/>
      <c r="AF6" s="136"/>
      <c r="AG6" s="136"/>
      <c r="AH6" s="136"/>
      <c r="AI6" s="136"/>
      <c r="AJ6" s="136"/>
      <c r="AK6" s="136"/>
      <c r="AL6" s="136"/>
      <c r="AM6" s="136"/>
      <c r="AN6" s="136"/>
      <c r="AO6" s="47"/>
      <c r="AP6" s="47"/>
      <c r="AS6" s="136"/>
      <c r="AT6" s="136"/>
      <c r="AU6" s="136"/>
      <c r="AV6" s="136"/>
      <c r="AW6" s="136"/>
      <c r="AX6" s="136"/>
      <c r="AY6" s="136"/>
      <c r="AZ6" s="136"/>
      <c r="BA6" s="136"/>
      <c r="EE6" s="59"/>
      <c r="EF6" s="59"/>
    </row>
    <row r="7" spans="3:136" ht="8.25" customHeight="1">
      <c r="C7" s="135"/>
      <c r="D7" s="135"/>
      <c r="E7" s="135"/>
      <c r="F7" s="135"/>
      <c r="G7" s="135"/>
      <c r="H7" s="135"/>
      <c r="I7" s="135"/>
      <c r="J7" s="135"/>
      <c r="K7" s="135"/>
      <c r="L7" s="135"/>
      <c r="S7" s="57"/>
      <c r="AF7" s="57"/>
      <c r="AG7" s="47"/>
      <c r="AH7" s="47"/>
      <c r="AI7" s="47"/>
      <c r="AJ7" s="47"/>
      <c r="AK7" s="47"/>
      <c r="AL7" s="47"/>
      <c r="AM7" s="47"/>
      <c r="AN7" s="47"/>
      <c r="AO7" s="47"/>
      <c r="AP7" s="47"/>
      <c r="AS7" s="57"/>
      <c r="EE7" s="59"/>
      <c r="EF7" s="59"/>
    </row>
    <row r="8" spans="3:136" ht="12.75" customHeight="1">
      <c r="C8" s="137" t="s">
        <v>605</v>
      </c>
      <c r="D8" s="137"/>
      <c r="E8" s="137"/>
      <c r="F8" s="137"/>
      <c r="G8" s="137"/>
      <c r="H8" s="137"/>
      <c r="I8" s="137"/>
      <c r="J8" s="137"/>
      <c r="K8" s="137"/>
      <c r="L8" s="137"/>
      <c r="S8" s="136" t="s">
        <v>602</v>
      </c>
      <c r="T8" s="136"/>
      <c r="U8" s="136"/>
      <c r="V8" s="136"/>
      <c r="W8" s="136"/>
      <c r="X8" s="136"/>
      <c r="Y8" s="123"/>
      <c r="AF8" s="136" t="s">
        <v>602</v>
      </c>
      <c r="AG8" s="136"/>
      <c r="AH8" s="136"/>
      <c r="AI8" s="136"/>
      <c r="AJ8" s="136"/>
      <c r="AK8" s="136"/>
      <c r="AL8" s="123"/>
      <c r="AM8" s="47"/>
      <c r="AN8" s="47"/>
      <c r="AO8" s="47"/>
      <c r="AP8" s="47"/>
      <c r="AS8" s="136" t="s">
        <v>602</v>
      </c>
      <c r="AT8" s="136"/>
      <c r="AU8" s="136"/>
      <c r="AV8" s="136"/>
      <c r="AW8" s="136"/>
      <c r="AX8" s="136"/>
      <c r="AY8" s="123"/>
      <c r="EE8" s="59"/>
      <c r="EF8" s="59"/>
    </row>
    <row r="9" spans="3:136" ht="12.75">
      <c r="C9" s="135"/>
      <c r="D9" s="135"/>
      <c r="E9" s="135"/>
      <c r="F9" s="135"/>
      <c r="G9" s="135"/>
      <c r="H9" s="135"/>
      <c r="I9" s="135"/>
      <c r="J9" s="135"/>
      <c r="K9" s="135"/>
      <c r="L9" s="135"/>
      <c r="S9" s="136"/>
      <c r="T9" s="136"/>
      <c r="U9" s="136"/>
      <c r="V9" s="136"/>
      <c r="W9" s="136"/>
      <c r="X9" s="136"/>
      <c r="Y9" s="122"/>
      <c r="AF9" s="136"/>
      <c r="AG9" s="136"/>
      <c r="AH9" s="136"/>
      <c r="AI9" s="136"/>
      <c r="AJ9" s="136"/>
      <c r="AK9" s="136"/>
      <c r="AL9" s="122"/>
      <c r="AM9" s="47"/>
      <c r="AN9" s="47"/>
      <c r="AO9" s="47"/>
      <c r="AP9" s="47"/>
      <c r="AS9" s="136"/>
      <c r="AT9" s="136"/>
      <c r="AU9" s="136"/>
      <c r="AV9" s="136"/>
      <c r="AW9" s="136"/>
      <c r="AX9" s="136"/>
      <c r="AY9" s="122"/>
      <c r="EE9" s="59"/>
      <c r="EF9" s="59"/>
    </row>
    <row r="10" spans="3:136" s="3" customFormat="1" ht="6" customHeight="1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AD10" s="50"/>
      <c r="AE10" s="50"/>
      <c r="AF10" s="50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4"/>
      <c r="EE10" s="5"/>
      <c r="EF10" s="5"/>
    </row>
    <row r="11" spans="1:136" s="3" customFormat="1" ht="22.5" customHeight="1">
      <c r="A11" s="140" t="s">
        <v>596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1" t="s">
        <v>583</v>
      </c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 t="s">
        <v>54</v>
      </c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 t="s">
        <v>55</v>
      </c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0" t="s">
        <v>601</v>
      </c>
      <c r="BG11" s="140"/>
      <c r="BH11" s="140"/>
      <c r="BI11" s="140"/>
      <c r="BJ11" s="140"/>
      <c r="EE11" s="5"/>
      <c r="EF11" s="5"/>
    </row>
    <row r="12" spans="3:136" s="3" customFormat="1" ht="15" customHeight="1">
      <c r="C12" s="7"/>
      <c r="D12" s="7"/>
      <c r="E12" s="7"/>
      <c r="F12" s="70"/>
      <c r="G12" s="70"/>
      <c r="H12" s="70"/>
      <c r="I12" s="70"/>
      <c r="J12" s="70"/>
      <c r="K12" s="70"/>
      <c r="L12" s="70"/>
      <c r="M12" s="70"/>
      <c r="N12" s="70"/>
      <c r="O12" s="7"/>
      <c r="P12" s="7"/>
      <c r="Q12" s="7"/>
      <c r="R12" s="7"/>
      <c r="S12" s="48"/>
      <c r="T12" s="8"/>
      <c r="U12" s="8"/>
      <c r="X12" s="8"/>
      <c r="Z12" s="8"/>
      <c r="AA12" s="15"/>
      <c r="AB12" s="8"/>
      <c r="AD12" s="24"/>
      <c r="AE12" s="24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24"/>
      <c r="AR12" s="24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"/>
      <c r="EE12" s="5" t="s">
        <v>41</v>
      </c>
      <c r="EF12" s="5" t="s">
        <v>559</v>
      </c>
    </row>
    <row r="13" spans="2:136" s="3" customFormat="1" ht="15" customHeight="1">
      <c r="B13" s="73"/>
      <c r="C13" s="74" t="s">
        <v>595</v>
      </c>
      <c r="D13" s="75"/>
      <c r="E13" s="76" t="s">
        <v>594</v>
      </c>
      <c r="F13" s="11"/>
      <c r="G13" s="82" t="s">
        <v>38</v>
      </c>
      <c r="H13" s="76" t="s">
        <v>416</v>
      </c>
      <c r="I13" s="76" t="s">
        <v>21</v>
      </c>
      <c r="J13" s="76" t="s">
        <v>22</v>
      </c>
      <c r="K13" s="76" t="s">
        <v>23</v>
      </c>
      <c r="L13" s="76" t="s">
        <v>24</v>
      </c>
      <c r="M13" s="77" t="s">
        <v>417</v>
      </c>
      <c r="N13" s="7"/>
      <c r="O13" s="7"/>
      <c r="P13" s="7"/>
      <c r="Q13" s="7"/>
      <c r="R13" s="7"/>
      <c r="S13" s="48"/>
      <c r="T13" s="48"/>
      <c r="U13" s="48"/>
      <c r="V13" s="48"/>
      <c r="W13" s="48"/>
      <c r="X13" s="48"/>
      <c r="Y13" s="50"/>
      <c r="Z13" s="48"/>
      <c r="AA13" s="50"/>
      <c r="AB13" s="48"/>
      <c r="AC13" s="50"/>
      <c r="AD13" s="24"/>
      <c r="AE13" s="24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24"/>
      <c r="AR13" s="24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"/>
      <c r="EE13" s="5"/>
      <c r="EF13" s="5"/>
    </row>
    <row r="14" spans="2:136" s="3" customFormat="1" ht="15" customHeight="1" thickBot="1">
      <c r="B14" s="10"/>
      <c r="C14" s="11"/>
      <c r="D14" s="12"/>
      <c r="E14" s="7"/>
      <c r="F14" s="7"/>
      <c r="G14" s="7"/>
      <c r="H14" s="7"/>
      <c r="I14" s="7"/>
      <c r="J14" s="7"/>
      <c r="K14" s="7"/>
      <c r="L14" s="7"/>
      <c r="M14" s="9"/>
      <c r="N14" s="7"/>
      <c r="O14" s="7"/>
      <c r="P14" s="7"/>
      <c r="Q14" s="7"/>
      <c r="R14" s="7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24"/>
      <c r="AR14" s="24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"/>
      <c r="EE14" s="13" t="s">
        <v>284</v>
      </c>
      <c r="EF14" s="62" t="s">
        <v>420</v>
      </c>
    </row>
    <row r="15" spans="2:136" s="3" customFormat="1" ht="15" customHeight="1" thickBot="1">
      <c r="B15" s="6"/>
      <c r="C15" s="7"/>
      <c r="D15" s="9"/>
      <c r="E15" s="90">
        <v>1</v>
      </c>
      <c r="F15" s="87"/>
      <c r="G15" s="85" t="str">
        <f>VLOOKUP(1,'Dummy Table'!O4:P7,2,FALSE)</f>
        <v>Czech Republic</v>
      </c>
      <c r="H15" s="90">
        <f>SUM(I15:K15)</f>
        <v>0</v>
      </c>
      <c r="I15" s="90">
        <f>SUMIF('Dummy Table'!B$4:B$7,'Euro 2008 Schedule'!G15,'Dummy Table'!C$4:C$7)</f>
        <v>0</v>
      </c>
      <c r="J15" s="90">
        <f>SUMIF('Dummy Table'!B$4:B$7,'Euro 2008 Schedule'!G15,'Dummy Table'!D$4:D$7)</f>
        <v>0</v>
      </c>
      <c r="K15" s="90">
        <f>SUMIF('Dummy Table'!B$4:B$7,'Euro 2008 Schedule'!G15,'Dummy Table'!E$4:E$7)</f>
        <v>0</v>
      </c>
      <c r="L15" s="90" t="str">
        <f>CONCATENATE(SUMIF('Dummy Table'!B$4:B$7,'Euro 2008 Schedule'!G15,'Dummy Table'!F$4:F$7)," - ",SUMIF('Dummy Table'!B$4:B$7,'Euro 2008 Schedule'!G15,'Dummy Table'!G$4:G$7))</f>
        <v>0 - 0</v>
      </c>
      <c r="M15" s="91">
        <f>SUMIF('Dummy Table'!B$4:B$7,'Euro 2008 Schedule'!G15,'Dummy Table'!I$4:I$7)</f>
        <v>0</v>
      </c>
      <c r="N15" s="87"/>
      <c r="O15" s="87"/>
      <c r="P15" s="87"/>
      <c r="Q15" s="87"/>
      <c r="R15" s="87"/>
      <c r="S15" s="92"/>
      <c r="T15" s="85" t="str">
        <f>IF(SUM(H15:H18)=12,G15,"Group A Winner")</f>
        <v>Group A Winner</v>
      </c>
      <c r="U15" s="93"/>
      <c r="V15" s="94"/>
      <c r="W15" s="95">
        <f>IF(Y15="","",IF(AND(Y15=Y25,Y15&lt;&gt;"",Y25&lt;&gt;""),IF(AND(AA15=AA25,AA15&lt;&gt;"",AA25&lt;&gt;""),IF(AND(AC15=AC25,AC15&lt;&gt;"",AC25&lt;&gt;""),"",Y15+AA15+AC15),Y15+AA15),Y15))</f>
      </c>
      <c r="X15" s="87"/>
      <c r="Y15" s="86"/>
      <c r="Z15" s="128"/>
      <c r="AA15" s="86"/>
      <c r="AB15" s="128"/>
      <c r="AC15" s="86"/>
      <c r="AD15" s="94"/>
      <c r="AE15" s="87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24"/>
      <c r="AR15" s="24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"/>
      <c r="EE15" s="13" t="s">
        <v>390</v>
      </c>
      <c r="EF15" s="62" t="s">
        <v>421</v>
      </c>
    </row>
    <row r="16" spans="2:136" s="3" customFormat="1" ht="15" customHeight="1">
      <c r="B16" s="6"/>
      <c r="C16" s="7"/>
      <c r="D16" s="9"/>
      <c r="E16" s="98">
        <v>2</v>
      </c>
      <c r="F16" s="97"/>
      <c r="G16" s="99" t="str">
        <f>VLOOKUP(2,'Dummy Table'!O4:P7,2,FALSE)</f>
        <v>Portugal</v>
      </c>
      <c r="H16" s="98">
        <f>SUM(I16:K16)</f>
        <v>0</v>
      </c>
      <c r="I16" s="98">
        <f>SUMIF('Dummy Table'!B$4:B$7,'Euro 2008 Schedule'!G16,'Dummy Table'!C$4:C$7)</f>
        <v>0</v>
      </c>
      <c r="J16" s="98">
        <f>SUMIF('Dummy Table'!B$4:B$7,'Euro 2008 Schedule'!G16,'Dummy Table'!D$4:D$7)</f>
        <v>0</v>
      </c>
      <c r="K16" s="98">
        <f>SUMIF('Dummy Table'!B$4:B$7,'Euro 2008 Schedule'!G16,'Dummy Table'!E$4:E$7)</f>
        <v>0</v>
      </c>
      <c r="L16" s="98" t="str">
        <f>CONCATENATE(SUMIF('Dummy Table'!B$4:B$7,'Euro 2008 Schedule'!G16,'Dummy Table'!F$4:F$7)," - ",SUMIF('Dummy Table'!B$4:B$7,'Euro 2008 Schedule'!G16,'Dummy Table'!G$4:G$7))</f>
        <v>0 - 0</v>
      </c>
      <c r="M16" s="100">
        <f>SUMIF('Dummy Table'!B$4:B$7,'Euro 2008 Schedule'!G16,'Dummy Table'!I$4:I$7)</f>
        <v>0</v>
      </c>
      <c r="N16" s="97"/>
      <c r="O16" s="97"/>
      <c r="P16" s="97"/>
      <c r="Q16" s="7"/>
      <c r="R16" s="7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87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24"/>
      <c r="AR16" s="24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"/>
      <c r="BH16" s="64"/>
      <c r="BI16" s="64"/>
      <c r="EE16" s="13" t="s">
        <v>370</v>
      </c>
      <c r="EF16" s="62" t="s">
        <v>422</v>
      </c>
    </row>
    <row r="17" spans="2:136" s="3" customFormat="1" ht="15" customHeight="1">
      <c r="B17" s="6"/>
      <c r="C17" s="7"/>
      <c r="D17" s="9"/>
      <c r="E17" s="8">
        <v>3</v>
      </c>
      <c r="F17" s="7"/>
      <c r="G17" s="66" t="str">
        <f>VLOOKUP(3,'Dummy Table'!O4:P7,2,FALSE)</f>
        <v>Turkey</v>
      </c>
      <c r="H17" s="8">
        <f>SUM(I17:K17)</f>
        <v>0</v>
      </c>
      <c r="I17" s="8">
        <f>SUMIF('Dummy Table'!B$4:B$7,'Euro 2008 Schedule'!G17,'Dummy Table'!C$4:C$7)</f>
        <v>0</v>
      </c>
      <c r="J17" s="8">
        <f>SUMIF('Dummy Table'!B$4:B$7,'Euro 2008 Schedule'!G17,'Dummy Table'!D$4:D$7)</f>
        <v>0</v>
      </c>
      <c r="K17" s="8">
        <f>SUMIF('Dummy Table'!B$4:B$7,'Euro 2008 Schedule'!G17,'Dummy Table'!E$4:E$7)</f>
        <v>0</v>
      </c>
      <c r="L17" s="8" t="str">
        <f>CONCATENATE(SUMIF('Dummy Table'!B$4:B$7,'Euro 2008 Schedule'!G17,'Dummy Table'!F$4:F$7)," - ",SUMIF('Dummy Table'!B$4:B$7,'Euro 2008 Schedule'!G17,'Dummy Table'!G$4:G$7))</f>
        <v>0 - 0</v>
      </c>
      <c r="M17" s="16">
        <f>SUMIF('Dummy Table'!B$4:B$7,'Euro 2008 Schedule'!G17,'Dummy Table'!I$4:I$7)</f>
        <v>0</v>
      </c>
      <c r="N17" s="7"/>
      <c r="O17" s="7"/>
      <c r="P17" s="97"/>
      <c r="Q17" s="7"/>
      <c r="R17" s="7"/>
      <c r="S17" s="48"/>
      <c r="AD17" s="24"/>
      <c r="AE17" s="87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24"/>
      <c r="AR17" s="24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"/>
      <c r="BH17" s="64"/>
      <c r="BI17" s="64"/>
      <c r="EE17" s="13" t="s">
        <v>301</v>
      </c>
      <c r="EF17" s="62" t="s">
        <v>423</v>
      </c>
    </row>
    <row r="18" spans="2:136" s="3" customFormat="1" ht="15" customHeight="1">
      <c r="B18" s="20"/>
      <c r="C18" s="21"/>
      <c r="D18" s="22"/>
      <c r="E18" s="8">
        <v>4</v>
      </c>
      <c r="F18" s="7"/>
      <c r="G18" s="66" t="str">
        <f>VLOOKUP(4,'Dummy Table'!O4:P7,2,FALSE)</f>
        <v>Switzerland</v>
      </c>
      <c r="H18" s="8">
        <f>SUM(I18:K18)</f>
        <v>0</v>
      </c>
      <c r="I18" s="8">
        <f>SUMIF('Dummy Table'!B$4:B$7,'Euro 2008 Schedule'!G18,'Dummy Table'!C$4:C$7)</f>
        <v>0</v>
      </c>
      <c r="J18" s="8">
        <f>SUMIF('Dummy Table'!B$4:B$7,'Euro 2008 Schedule'!G18,'Dummy Table'!D$4:D$7)</f>
        <v>0</v>
      </c>
      <c r="K18" s="8">
        <f>SUMIF('Dummy Table'!B$4:B$7,'Euro 2008 Schedule'!G18,'Dummy Table'!E$4:E$7)</f>
        <v>0</v>
      </c>
      <c r="L18" s="8" t="str">
        <f>CONCATENATE(SUMIF('Dummy Table'!B$4:B$7,'Euro 2008 Schedule'!G18,'Dummy Table'!F$4:F$7)," - ",SUMIF('Dummy Table'!B$4:B$7,'Euro 2008 Schedule'!G18,'Dummy Table'!G$4:G$7))</f>
        <v>0 - 0</v>
      </c>
      <c r="M18" s="16">
        <f>SUMIF('Dummy Table'!B$4:B$7,'Euro 2008 Schedule'!G18,'Dummy Table'!I$4:I$7)</f>
        <v>0</v>
      </c>
      <c r="N18" s="7"/>
      <c r="O18" s="7"/>
      <c r="P18" s="97"/>
      <c r="Q18" s="7"/>
      <c r="R18" s="7"/>
      <c r="S18" s="48"/>
      <c r="T18" s="53" t="s">
        <v>584</v>
      </c>
      <c r="U18" s="53"/>
      <c r="V18" s="48"/>
      <c r="W18" s="50"/>
      <c r="AD18" s="24"/>
      <c r="AE18" s="87"/>
      <c r="AF18" s="7"/>
      <c r="AG18" s="8"/>
      <c r="AH18" s="8"/>
      <c r="AK18" s="7"/>
      <c r="AM18" s="7"/>
      <c r="AN18" s="15"/>
      <c r="AO18" s="7"/>
      <c r="AQ18" s="24"/>
      <c r="AR18" s="24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"/>
      <c r="BH18" s="64"/>
      <c r="BI18" s="64"/>
      <c r="EE18" s="13" t="s">
        <v>407</v>
      </c>
      <c r="EF18" s="62" t="s">
        <v>424</v>
      </c>
    </row>
    <row r="19" spans="2:136" s="3" customFormat="1" ht="15" customHeight="1" thickBot="1">
      <c r="B19" s="6"/>
      <c r="C19" s="7"/>
      <c r="D19" s="7"/>
      <c r="E19" s="7"/>
      <c r="F19" s="7"/>
      <c r="G19" s="66"/>
      <c r="H19" s="8"/>
      <c r="I19" s="8"/>
      <c r="J19" s="8"/>
      <c r="K19" s="8"/>
      <c r="L19" s="8"/>
      <c r="M19" s="16"/>
      <c r="N19" s="7"/>
      <c r="O19" s="7"/>
      <c r="P19" s="97"/>
      <c r="Q19" s="7"/>
      <c r="R19" s="7"/>
      <c r="S19" s="50"/>
      <c r="T19" s="53" t="s">
        <v>597</v>
      </c>
      <c r="U19" s="53" t="s">
        <v>56</v>
      </c>
      <c r="V19" s="24" t="s">
        <v>598</v>
      </c>
      <c r="W19" s="50"/>
      <c r="AD19" s="24"/>
      <c r="AE19" s="87"/>
      <c r="AF19" s="7"/>
      <c r="AG19" s="7"/>
      <c r="AH19" s="7"/>
      <c r="AI19" s="52"/>
      <c r="AJ19" s="52"/>
      <c r="AK19" s="7"/>
      <c r="AM19" s="7"/>
      <c r="AN19" s="15"/>
      <c r="AO19" s="7"/>
      <c r="AQ19" s="24"/>
      <c r="AR19" s="24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"/>
      <c r="BH19" s="64"/>
      <c r="BI19" s="64"/>
      <c r="EE19" s="13" t="s">
        <v>352</v>
      </c>
      <c r="EF19" s="62" t="s">
        <v>425</v>
      </c>
    </row>
    <row r="20" spans="2:136" s="3" customFormat="1" ht="15" customHeight="1" thickBot="1">
      <c r="B20" s="79"/>
      <c r="C20" s="80" t="s">
        <v>30</v>
      </c>
      <c r="D20" s="80" t="s">
        <v>0</v>
      </c>
      <c r="E20" s="80" t="s">
        <v>1</v>
      </c>
      <c r="F20" s="71"/>
      <c r="G20" s="80" t="s">
        <v>38</v>
      </c>
      <c r="H20" s="142" t="s">
        <v>2</v>
      </c>
      <c r="I20" s="142"/>
      <c r="J20" s="142"/>
      <c r="K20" s="72"/>
      <c r="L20" s="80" t="s">
        <v>38</v>
      </c>
      <c r="M20" s="81"/>
      <c r="N20" s="7"/>
      <c r="O20" s="7"/>
      <c r="P20" s="97"/>
      <c r="Q20" s="7"/>
      <c r="R20" s="7"/>
      <c r="S20" s="48"/>
      <c r="T20" s="89" t="s">
        <v>38</v>
      </c>
      <c r="U20" s="53" t="s">
        <v>56</v>
      </c>
      <c r="V20" s="3" t="s">
        <v>4</v>
      </c>
      <c r="X20" s="48"/>
      <c r="Y20" s="50" t="s">
        <v>585</v>
      </c>
      <c r="Z20" s="48"/>
      <c r="AA20" s="50" t="s">
        <v>586</v>
      </c>
      <c r="AB20" s="48"/>
      <c r="AC20" s="50" t="s">
        <v>587</v>
      </c>
      <c r="AD20" s="24"/>
      <c r="AE20" s="96"/>
      <c r="AF20" s="111"/>
      <c r="AG20" s="112" t="str">
        <f>IF(AND(W15&lt;&gt;"",W25&lt;&gt;"",W15&lt;&gt;W25),IF(W15&gt;W25,T15,T25),"Match 25 Winner")</f>
        <v>Match 25 Winner</v>
      </c>
      <c r="AH20" s="113"/>
      <c r="AI20" s="111"/>
      <c r="AJ20" s="114">
        <f>IF(AL20="","",IF(AND(AL20=AL40,AL20&lt;&gt;"",AL40&lt;&gt;""),IF(AND(AN20=AN40,AN20&lt;&gt;"",AN40&lt;&gt;""),IF(AND(AP20=AP40,AP20&lt;&gt;"",AP40&lt;&gt;""),"",AL20+AN20+AP20),AL20+AN20),AL20))</f>
      </c>
      <c r="AK20" s="111"/>
      <c r="AL20" s="115"/>
      <c r="AM20" s="134"/>
      <c r="AN20" s="115"/>
      <c r="AO20" s="134"/>
      <c r="AP20" s="115"/>
      <c r="AQ20" s="96"/>
      <c r="AR20" s="96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"/>
      <c r="BH20" s="64"/>
      <c r="BI20" s="64"/>
      <c r="EE20" s="13" t="s">
        <v>218</v>
      </c>
      <c r="EF20" s="62" t="s">
        <v>426</v>
      </c>
    </row>
    <row r="21" spans="2:136" s="3" customFormat="1" ht="15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9"/>
      <c r="N21" s="7"/>
      <c r="O21" s="7"/>
      <c r="P21" s="97"/>
      <c r="Q21" s="7"/>
      <c r="R21" s="7"/>
      <c r="T21" s="53" t="s">
        <v>0</v>
      </c>
      <c r="U21" s="53" t="s">
        <v>56</v>
      </c>
      <c r="V21" s="68">
        <f>V22</f>
        <v>39618.864583333336</v>
      </c>
      <c r="W21" s="50"/>
      <c r="AD21" s="24"/>
      <c r="AE21" s="97"/>
      <c r="AQ21" s="24"/>
      <c r="AR21" s="96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"/>
      <c r="BH21" s="64"/>
      <c r="BI21" s="64"/>
      <c r="EE21" s="13" t="s">
        <v>208</v>
      </c>
      <c r="EF21" s="62" t="s">
        <v>427</v>
      </c>
    </row>
    <row r="22" spans="2:136" s="3" customFormat="1" ht="15" customHeight="1">
      <c r="B22" s="6"/>
      <c r="C22" s="8">
        <v>1</v>
      </c>
      <c r="D22" s="65">
        <f>E22</f>
        <v>39606.75</v>
      </c>
      <c r="E22" s="61">
        <f>Timezone!J2</f>
        <v>39606.75</v>
      </c>
      <c r="F22" s="24"/>
      <c r="G22" s="8" t="str">
        <f>INDEX(Language!B$2:BI$80,SUMIF('Row and Column'!A$5:A$21,"Switzerland",'Row and Column'!B$5:B$21),SUMIF('Row and Column'!D$5:D$75,I$3,'Row and Column'!E$5:E$75))</f>
        <v>Switzerland</v>
      </c>
      <c r="H22" s="25"/>
      <c r="I22" s="15" t="s">
        <v>3</v>
      </c>
      <c r="J22" s="25"/>
      <c r="K22" s="7"/>
      <c r="L22" s="8" t="str">
        <f>INDEX(Language!B$2:BI$80,SUMIF('Row and Column'!A$5:A$21,"Czech Republic",'Row and Column'!B$5:B$21),SUMIF('Row and Column'!D$5:D$75,I$3,'Row and Column'!E$5:E$75))</f>
        <v>Czech Republic</v>
      </c>
      <c r="M22" s="9"/>
      <c r="N22" s="7"/>
      <c r="O22" s="7"/>
      <c r="P22" s="97"/>
      <c r="Q22" s="7"/>
      <c r="R22" s="7"/>
      <c r="T22" s="53" t="s">
        <v>1</v>
      </c>
      <c r="U22" s="53" t="s">
        <v>56</v>
      </c>
      <c r="V22" s="67">
        <f>Timezone!J26</f>
        <v>39618.864583333336</v>
      </c>
      <c r="AD22" s="24"/>
      <c r="AE22" s="97"/>
      <c r="AF22" s="48"/>
      <c r="AK22" s="48"/>
      <c r="AL22" s="48"/>
      <c r="AM22" s="48"/>
      <c r="AN22" s="48"/>
      <c r="AO22" s="48"/>
      <c r="AQ22" s="24"/>
      <c r="AR22" s="96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"/>
      <c r="BH22" s="64"/>
      <c r="BI22" s="64"/>
      <c r="EE22" s="19" t="s">
        <v>42</v>
      </c>
      <c r="EF22" s="62" t="s">
        <v>428</v>
      </c>
    </row>
    <row r="23" spans="2:136" s="3" customFormat="1" ht="15" customHeight="1">
      <c r="B23" s="6"/>
      <c r="C23" s="8">
        <v>2</v>
      </c>
      <c r="D23" s="65">
        <f>E23</f>
        <v>39606.864583333336</v>
      </c>
      <c r="E23" s="61">
        <f>Timezone!J3</f>
        <v>39606.864583333336</v>
      </c>
      <c r="F23" s="24"/>
      <c r="G23" s="8" t="str">
        <f>INDEX(Language!B$2:BI$80,SUMIF('Row and Column'!A$5:A$21,"Portugal",'Row and Column'!B$5:B$21),SUMIF('Row and Column'!D$5:D$75,I$3,'Row and Column'!E$5:E$75))</f>
        <v>Portugal</v>
      </c>
      <c r="H23" s="25"/>
      <c r="I23" s="15" t="s">
        <v>3</v>
      </c>
      <c r="J23" s="25"/>
      <c r="K23" s="7"/>
      <c r="L23" s="8" t="str">
        <f>INDEX(Language!B$2:BI$80,SUMIF('Row and Column'!A$5:A$21,"Turkey",'Row and Column'!B$5:B$21),SUMIF('Row and Column'!D$5:D$75,I$3,'Row and Column'!E$5:E$75))</f>
        <v>Turkey</v>
      </c>
      <c r="M23" s="9"/>
      <c r="N23" s="7"/>
      <c r="O23" s="7"/>
      <c r="P23" s="97"/>
      <c r="Q23" s="7"/>
      <c r="R23" s="7"/>
      <c r="AD23" s="24"/>
      <c r="AE23" s="97"/>
      <c r="AF23" s="48"/>
      <c r="AK23" s="48"/>
      <c r="AL23" s="48"/>
      <c r="AM23" s="48"/>
      <c r="AN23" s="48"/>
      <c r="AO23" s="48"/>
      <c r="AP23" s="48"/>
      <c r="AQ23" s="24"/>
      <c r="AR23" s="96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"/>
      <c r="BH23" s="64"/>
      <c r="BI23" s="64"/>
      <c r="EE23" s="13" t="s">
        <v>259</v>
      </c>
      <c r="EF23" s="62" t="s">
        <v>429</v>
      </c>
    </row>
    <row r="24" spans="2:136" s="3" customFormat="1" ht="15" customHeight="1" thickBot="1">
      <c r="B24" s="6"/>
      <c r="C24" s="7"/>
      <c r="D24" s="7"/>
      <c r="E24" s="7"/>
      <c r="F24" s="7"/>
      <c r="G24" s="66"/>
      <c r="H24" s="127"/>
      <c r="I24" s="8"/>
      <c r="J24" s="127"/>
      <c r="K24" s="8"/>
      <c r="L24" s="8"/>
      <c r="M24" s="16"/>
      <c r="N24" s="7"/>
      <c r="O24" s="7"/>
      <c r="P24" s="97"/>
      <c r="Q24" s="7"/>
      <c r="R24" s="7"/>
      <c r="X24" s="48"/>
      <c r="Y24" s="48"/>
      <c r="Z24" s="48"/>
      <c r="AA24" s="48"/>
      <c r="AB24" s="48"/>
      <c r="AC24" s="48"/>
      <c r="AD24" s="24"/>
      <c r="AE24" s="97"/>
      <c r="AF24" s="48"/>
      <c r="AK24" s="48"/>
      <c r="AL24" s="48"/>
      <c r="AM24" s="48"/>
      <c r="AN24" s="48"/>
      <c r="AO24" s="48"/>
      <c r="AP24" s="48"/>
      <c r="AQ24" s="24"/>
      <c r="AR24" s="96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"/>
      <c r="BH24" s="64"/>
      <c r="BI24" s="64"/>
      <c r="EE24" s="13" t="s">
        <v>18</v>
      </c>
      <c r="EF24" s="62" t="s">
        <v>430</v>
      </c>
    </row>
    <row r="25" spans="2:136" s="3" customFormat="1" ht="15" customHeight="1" thickBot="1">
      <c r="B25" s="6"/>
      <c r="C25" s="8">
        <v>9</v>
      </c>
      <c r="D25" s="65">
        <f>E25</f>
        <v>39610.75</v>
      </c>
      <c r="E25" s="61">
        <f>Timezone!J10</f>
        <v>39610.75</v>
      </c>
      <c r="F25" s="24"/>
      <c r="G25" s="8" t="str">
        <f>INDEX(Language!B$2:BI$80,SUMIF('Row and Column'!A$5:A$21,"Czech Republic",'Row and Column'!B$5:B$21),SUMIF('Row and Column'!D$5:D$75,I$3,'Row and Column'!E$5:E$75))</f>
        <v>Czech Republic</v>
      </c>
      <c r="H25" s="25"/>
      <c r="I25" s="15" t="s">
        <v>3</v>
      </c>
      <c r="J25" s="25"/>
      <c r="K25" s="7"/>
      <c r="L25" s="8" t="str">
        <f>INDEX(Language!B$2:BI$80,SUMIF('Row and Column'!A$5:A$21,"Portugal",'Row and Column'!B$5:B$21),SUMIF('Row and Column'!D$5:D$75,I$3,'Row and Column'!E$5:E$75))</f>
        <v>Portugal</v>
      </c>
      <c r="M25" s="9"/>
      <c r="N25" s="7"/>
      <c r="O25" s="97"/>
      <c r="P25" s="108"/>
      <c r="Q25" s="97"/>
      <c r="R25" s="97"/>
      <c r="S25" s="109"/>
      <c r="T25" s="99" t="str">
        <f>IF(SUM(H34:H37)=12,G35,"Group B Runner Up")</f>
        <v>Group B Runner Up</v>
      </c>
      <c r="U25" s="98"/>
      <c r="V25" s="110"/>
      <c r="W25" s="103">
        <f>IF(Y25="","",IF(AND(Y15=Y25,Y15&lt;&gt;"",Y25&lt;&gt;""),IF(AND(AA15=AA25,AA15&lt;&gt;"",AA25&lt;&gt;""),IF(AND(AC15=AC25,AC15&lt;&gt;"",AC25&lt;&gt;""),"",Y25+AA25+AC25),Y25+AA25),Y25))</f>
      </c>
      <c r="X25" s="97"/>
      <c r="Y25" s="104"/>
      <c r="Z25" s="129"/>
      <c r="AA25" s="104"/>
      <c r="AB25" s="129"/>
      <c r="AC25" s="104"/>
      <c r="AD25" s="101"/>
      <c r="AE25" s="97"/>
      <c r="AF25" s="48"/>
      <c r="AK25" s="48"/>
      <c r="AL25" s="48"/>
      <c r="AM25" s="48"/>
      <c r="AN25" s="48"/>
      <c r="AO25" s="48"/>
      <c r="AP25" s="48"/>
      <c r="AQ25" s="24"/>
      <c r="AR25" s="96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"/>
      <c r="BH25" s="64"/>
      <c r="BI25" s="64"/>
      <c r="EE25" s="13" t="s">
        <v>102</v>
      </c>
      <c r="EF25" s="62" t="s">
        <v>431</v>
      </c>
    </row>
    <row r="26" spans="2:136" s="3" customFormat="1" ht="15" customHeight="1">
      <c r="B26" s="6"/>
      <c r="C26" s="8">
        <v>10</v>
      </c>
      <c r="D26" s="65">
        <f>E26</f>
        <v>39610.864583333336</v>
      </c>
      <c r="E26" s="61">
        <f>Timezone!J11</f>
        <v>39610.864583333336</v>
      </c>
      <c r="F26" s="24"/>
      <c r="G26" s="8" t="str">
        <f>INDEX(Language!B$2:BI$80,SUMIF('Row and Column'!A$5:A$21,"Switzerland",'Row and Column'!B$5:B$21),SUMIF('Row and Column'!D$5:D$75,I$3,'Row and Column'!E$5:E$75))</f>
        <v>Switzerland</v>
      </c>
      <c r="H26" s="25"/>
      <c r="I26" s="15" t="s">
        <v>3</v>
      </c>
      <c r="J26" s="25"/>
      <c r="K26" s="7"/>
      <c r="L26" s="8" t="str">
        <f>INDEX(Language!B$2:BI$80,SUMIF('Row and Column'!A$5:A$21,"Turkey",'Row and Column'!B$5:B$21),SUMIF('Row and Column'!D$5:D$75,I$3,'Row and Column'!E$5:E$75))</f>
        <v>Turkey</v>
      </c>
      <c r="M26" s="9"/>
      <c r="N26" s="7"/>
      <c r="O26" s="97"/>
      <c r="P26" s="108"/>
      <c r="Q26" s="7"/>
      <c r="R26" s="7"/>
      <c r="AD26" s="24"/>
      <c r="AE26" s="24"/>
      <c r="AF26" s="48"/>
      <c r="AG26" s="48"/>
      <c r="AH26" s="48"/>
      <c r="AI26" s="48"/>
      <c r="AJ26" s="48"/>
      <c r="AK26" s="48"/>
      <c r="AM26" s="48"/>
      <c r="AO26" s="48"/>
      <c r="AQ26" s="24"/>
      <c r="AR26" s="96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"/>
      <c r="BH26" s="64"/>
      <c r="BI26" s="64"/>
      <c r="EE26" s="13" t="s">
        <v>318</v>
      </c>
      <c r="EF26" s="62" t="s">
        <v>432</v>
      </c>
    </row>
    <row r="27" spans="2:136" s="3" customFormat="1" ht="15" customHeight="1">
      <c r="B27" s="6"/>
      <c r="C27" s="7"/>
      <c r="D27" s="7"/>
      <c r="E27" s="7"/>
      <c r="F27" s="7"/>
      <c r="G27" s="66"/>
      <c r="H27" s="127"/>
      <c r="I27" s="8"/>
      <c r="J27" s="127"/>
      <c r="K27" s="8"/>
      <c r="L27" s="8"/>
      <c r="M27" s="16"/>
      <c r="N27" s="7"/>
      <c r="O27" s="97"/>
      <c r="P27" s="108"/>
      <c r="Q27" s="7"/>
      <c r="R27" s="7"/>
      <c r="AD27" s="24"/>
      <c r="AE27" s="24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24"/>
      <c r="AR27" s="96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"/>
      <c r="BH27" s="64"/>
      <c r="BI27" s="64"/>
      <c r="EE27" s="13" t="s">
        <v>186</v>
      </c>
      <c r="EF27" s="62" t="s">
        <v>433</v>
      </c>
    </row>
    <row r="28" spans="2:136" s="3" customFormat="1" ht="15" customHeight="1">
      <c r="B28" s="6"/>
      <c r="C28" s="8">
        <v>17</v>
      </c>
      <c r="D28" s="65">
        <f>E28</f>
        <v>39614.864583333336</v>
      </c>
      <c r="E28" s="61">
        <f>Timezone!J18</f>
        <v>39614.864583333336</v>
      </c>
      <c r="F28" s="24"/>
      <c r="G28" s="8" t="str">
        <f>INDEX(Language!B$2:BI$80,SUMIF('Row and Column'!A$5:A$21,"Switzerland",'Row and Column'!B$5:B$21),SUMIF('Row and Column'!D$5:D$75,I$3,'Row and Column'!E$5:E$75))</f>
        <v>Switzerland</v>
      </c>
      <c r="H28" s="25"/>
      <c r="I28" s="15" t="s">
        <v>3</v>
      </c>
      <c r="J28" s="25"/>
      <c r="K28" s="7"/>
      <c r="L28" s="8" t="str">
        <f>INDEX(Language!B$2:BI$80,SUMIF('Row and Column'!A$5:A$21,"Portugal",'Row and Column'!B$5:B$21),SUMIF('Row and Column'!D$5:D$75,I$3,'Row and Column'!E$5:E$75))</f>
        <v>Portugal</v>
      </c>
      <c r="M28" s="9"/>
      <c r="N28" s="7"/>
      <c r="O28" s="97"/>
      <c r="P28" s="108"/>
      <c r="Q28" s="7"/>
      <c r="R28" s="7"/>
      <c r="S28" s="48"/>
      <c r="X28" s="48"/>
      <c r="Y28" s="48"/>
      <c r="Z28" s="48"/>
      <c r="AA28" s="48"/>
      <c r="AB28" s="48"/>
      <c r="AD28" s="24"/>
      <c r="AE28" s="24"/>
      <c r="AG28" s="53" t="s">
        <v>588</v>
      </c>
      <c r="AH28" s="53"/>
      <c r="AI28" s="48"/>
      <c r="AJ28" s="50"/>
      <c r="AQ28" s="55"/>
      <c r="AR28" s="96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"/>
      <c r="BH28" s="64"/>
      <c r="BI28" s="64"/>
      <c r="EE28" s="13" t="s">
        <v>112</v>
      </c>
      <c r="EF28" s="62" t="s">
        <v>434</v>
      </c>
    </row>
    <row r="29" spans="2:136" s="3" customFormat="1" ht="15" customHeight="1" thickBot="1">
      <c r="B29" s="6"/>
      <c r="C29" s="8">
        <v>18</v>
      </c>
      <c r="D29" s="65">
        <f>E29</f>
        <v>39614.864583333336</v>
      </c>
      <c r="E29" s="61">
        <f>Timezone!J19</f>
        <v>39614.864583333336</v>
      </c>
      <c r="F29" s="24"/>
      <c r="G29" s="8" t="str">
        <f>INDEX(Language!B$2:BI$80,SUMIF('Row and Column'!A$5:A$21,"Turkey",'Row and Column'!B$5:B$21),SUMIF('Row and Column'!D$5:D$75,I$3,'Row and Column'!E$5:E$75))</f>
        <v>Turkey</v>
      </c>
      <c r="H29" s="25"/>
      <c r="I29" s="15" t="s">
        <v>3</v>
      </c>
      <c r="J29" s="25"/>
      <c r="K29" s="7"/>
      <c r="L29" s="8" t="str">
        <f>INDEX(Language!B$2:BI$80,SUMIF('Row and Column'!A$5:A$21,"Czech Republic",'Row and Column'!B$5:B$21),SUMIF('Row and Column'!D$5:D$75,I$3,'Row and Column'!E$5:E$75))</f>
        <v>Czech Republic</v>
      </c>
      <c r="M29" s="9"/>
      <c r="N29" s="7"/>
      <c r="O29" s="97"/>
      <c r="P29" s="108"/>
      <c r="Q29" s="7"/>
      <c r="R29" s="7"/>
      <c r="S29" s="48"/>
      <c r="X29" s="48"/>
      <c r="Y29" s="48"/>
      <c r="Z29" s="48"/>
      <c r="AA29" s="48"/>
      <c r="AB29" s="48"/>
      <c r="AC29" s="53"/>
      <c r="AD29" s="24"/>
      <c r="AE29" s="24"/>
      <c r="AF29" s="48"/>
      <c r="AG29" s="53" t="s">
        <v>597</v>
      </c>
      <c r="AH29" s="53" t="s">
        <v>56</v>
      </c>
      <c r="AI29" s="24" t="s">
        <v>598</v>
      </c>
      <c r="AJ29" s="48"/>
      <c r="AK29" s="48"/>
      <c r="AL29" s="48"/>
      <c r="AM29" s="48"/>
      <c r="AN29" s="48"/>
      <c r="AO29" s="48"/>
      <c r="AP29" s="48"/>
      <c r="AQ29" s="24"/>
      <c r="AR29" s="96"/>
      <c r="AS29" s="48"/>
      <c r="BE29" s="4"/>
      <c r="BH29" s="64"/>
      <c r="BI29" s="64"/>
      <c r="EE29" s="13" t="s">
        <v>143</v>
      </c>
      <c r="EF29" s="62" t="s">
        <v>435</v>
      </c>
    </row>
    <row r="30" spans="2:136" s="3" customFormat="1" ht="15" customHeight="1" thickBot="1">
      <c r="B30" s="20"/>
      <c r="C30" s="21"/>
      <c r="D30" s="21"/>
      <c r="E30" s="21"/>
      <c r="F30" s="21"/>
      <c r="G30" s="83"/>
      <c r="H30" s="17"/>
      <c r="I30" s="17"/>
      <c r="J30" s="17"/>
      <c r="K30" s="17"/>
      <c r="L30" s="17"/>
      <c r="M30" s="18"/>
      <c r="N30" s="7"/>
      <c r="O30" s="97"/>
      <c r="P30" s="108"/>
      <c r="Q30" s="7"/>
      <c r="R30" s="7"/>
      <c r="S30" s="48"/>
      <c r="X30" s="48"/>
      <c r="Y30" s="48"/>
      <c r="Z30" s="48"/>
      <c r="AA30" s="48"/>
      <c r="AB30" s="48"/>
      <c r="AC30" s="53"/>
      <c r="AD30" s="24"/>
      <c r="AE30" s="24"/>
      <c r="AG30" s="89" t="s">
        <v>38</v>
      </c>
      <c r="AH30" s="53" t="s">
        <v>56</v>
      </c>
      <c r="AI30" s="3" t="s">
        <v>4</v>
      </c>
      <c r="AL30" s="50" t="s">
        <v>585</v>
      </c>
      <c r="AN30" s="50" t="s">
        <v>586</v>
      </c>
      <c r="AP30" s="50" t="s">
        <v>587</v>
      </c>
      <c r="AQ30" s="24"/>
      <c r="AR30" s="96"/>
      <c r="AS30" s="111"/>
      <c r="AT30" s="112" t="str">
        <f>IF(AND(AJ20&lt;&gt;"",AJ40&lt;&gt;"",AJ20&lt;&gt;AJ40),IF(AJ20&gt;AJ40,AG20,AG40),"Match 29 Winner")</f>
        <v>Match 29 Winner</v>
      </c>
      <c r="AU30" s="113"/>
      <c r="AV30" s="111"/>
      <c r="AW30" s="114">
        <f>IF(AY30="","",IF(AND(AY30=AY70,AY30&lt;&gt;"",AY70&lt;&gt;""),IF(AND(BA30=BA70,BA30&lt;&gt;"",BA70&lt;&gt;""),IF(AND(BC30=BC70,BC30&lt;&gt;"",BC70&lt;&gt;""),"",AY30+BA30+BC30),AY30+BA30),AY30))</f>
      </c>
      <c r="AX30" s="111"/>
      <c r="AY30" s="115"/>
      <c r="AZ30" s="134"/>
      <c r="BA30" s="115"/>
      <c r="BB30" s="134"/>
      <c r="BC30" s="115"/>
      <c r="BD30" s="118"/>
      <c r="BE30" s="119"/>
      <c r="BH30" s="64"/>
      <c r="BI30" s="64"/>
      <c r="EE30" s="13" t="s">
        <v>373</v>
      </c>
      <c r="EF30" s="62" t="s">
        <v>436</v>
      </c>
    </row>
    <row r="31" spans="3:136" s="3" customFormat="1" ht="15" customHeight="1">
      <c r="C31" s="7"/>
      <c r="D31" s="7"/>
      <c r="E31" s="7"/>
      <c r="F31" s="7"/>
      <c r="G31" s="66"/>
      <c r="H31" s="8"/>
      <c r="I31" s="8"/>
      <c r="J31" s="8"/>
      <c r="K31" s="8"/>
      <c r="L31" s="8"/>
      <c r="M31" s="8"/>
      <c r="N31" s="7"/>
      <c r="O31" s="97"/>
      <c r="P31" s="108"/>
      <c r="Q31" s="7"/>
      <c r="R31" s="7"/>
      <c r="S31" s="48"/>
      <c r="X31" s="48"/>
      <c r="Y31" s="48"/>
      <c r="Z31" s="48"/>
      <c r="AA31" s="48"/>
      <c r="AB31" s="48"/>
      <c r="AC31" s="48"/>
      <c r="AD31" s="24"/>
      <c r="AE31" s="24"/>
      <c r="AG31" s="53" t="s">
        <v>0</v>
      </c>
      <c r="AH31" s="53" t="s">
        <v>56</v>
      </c>
      <c r="AI31" s="68">
        <f>AI32</f>
        <v>39624.864583333336</v>
      </c>
      <c r="AJ31" s="48"/>
      <c r="AQ31" s="24"/>
      <c r="AR31" s="96"/>
      <c r="AS31" s="48"/>
      <c r="BE31" s="119"/>
      <c r="BH31" s="64"/>
      <c r="BI31" s="64"/>
      <c r="EE31" s="13" t="s">
        <v>230</v>
      </c>
      <c r="EF31" s="62" t="s">
        <v>437</v>
      </c>
    </row>
    <row r="32" spans="2:136" s="3" customFormat="1" ht="15" customHeight="1">
      <c r="B32" s="73"/>
      <c r="C32" s="74" t="s">
        <v>595</v>
      </c>
      <c r="D32" s="75"/>
      <c r="E32" s="76" t="s">
        <v>594</v>
      </c>
      <c r="F32" s="11"/>
      <c r="G32" s="82" t="s">
        <v>38</v>
      </c>
      <c r="H32" s="76" t="s">
        <v>416</v>
      </c>
      <c r="I32" s="76" t="s">
        <v>21</v>
      </c>
      <c r="J32" s="76" t="s">
        <v>22</v>
      </c>
      <c r="K32" s="76" t="s">
        <v>23</v>
      </c>
      <c r="L32" s="76" t="s">
        <v>24</v>
      </c>
      <c r="M32" s="77" t="s">
        <v>417</v>
      </c>
      <c r="N32" s="7"/>
      <c r="O32" s="97"/>
      <c r="P32" s="108"/>
      <c r="Q32" s="7"/>
      <c r="R32" s="7"/>
      <c r="S32" s="48"/>
      <c r="X32" s="48"/>
      <c r="Y32" s="48"/>
      <c r="Z32" s="48"/>
      <c r="AA32" s="48"/>
      <c r="AB32" s="48"/>
      <c r="AC32" s="48"/>
      <c r="AD32" s="24"/>
      <c r="AE32" s="24"/>
      <c r="AG32" s="53" t="s">
        <v>1</v>
      </c>
      <c r="AH32" s="53" t="s">
        <v>56</v>
      </c>
      <c r="AI32" s="67">
        <f>Timezone!J30</f>
        <v>39624.864583333336</v>
      </c>
      <c r="AQ32" s="56"/>
      <c r="AR32" s="96"/>
      <c r="AS32" s="48"/>
      <c r="BE32" s="119"/>
      <c r="BH32" s="64"/>
      <c r="BI32" s="64"/>
      <c r="EE32" s="13" t="s">
        <v>142</v>
      </c>
      <c r="EF32" s="62" t="s">
        <v>438</v>
      </c>
    </row>
    <row r="33" spans="2:136" s="3" customFormat="1" ht="15" customHeight="1">
      <c r="B33" s="10"/>
      <c r="C33" s="11"/>
      <c r="D33" s="12"/>
      <c r="E33" s="7"/>
      <c r="F33" s="7"/>
      <c r="G33" s="7"/>
      <c r="H33" s="7"/>
      <c r="I33" s="7"/>
      <c r="J33" s="7"/>
      <c r="K33" s="7"/>
      <c r="L33" s="7"/>
      <c r="M33" s="9"/>
      <c r="N33" s="7"/>
      <c r="O33" s="97"/>
      <c r="P33" s="108"/>
      <c r="Q33" s="7"/>
      <c r="R33" s="7"/>
      <c r="S33" s="48"/>
      <c r="T33" s="48"/>
      <c r="U33" s="48"/>
      <c r="V33" s="48"/>
      <c r="W33" s="48"/>
      <c r="X33" s="48"/>
      <c r="Y33" s="50"/>
      <c r="Z33" s="48"/>
      <c r="AA33" s="50"/>
      <c r="AB33" s="48"/>
      <c r="AC33" s="50"/>
      <c r="AD33" s="24"/>
      <c r="AE33" s="24"/>
      <c r="AQ33" s="15"/>
      <c r="AR33" s="96"/>
      <c r="AS33" s="48"/>
      <c r="BE33" s="119"/>
      <c r="BH33" s="64"/>
      <c r="BI33" s="64"/>
      <c r="EE33" s="13" t="s">
        <v>113</v>
      </c>
      <c r="EF33" s="62" t="s">
        <v>439</v>
      </c>
    </row>
    <row r="34" spans="2:136" s="3" customFormat="1" ht="15" customHeight="1" thickBot="1">
      <c r="B34" s="6"/>
      <c r="C34" s="7"/>
      <c r="D34" s="9"/>
      <c r="E34" s="90">
        <v>1</v>
      </c>
      <c r="F34" s="87"/>
      <c r="G34" s="85" t="str">
        <f>VLOOKUP(1,'Dummy Table'!O11:P14,2,FALSE)</f>
        <v>Croatia</v>
      </c>
      <c r="H34" s="90">
        <f>SUM(I34:K34)</f>
        <v>0</v>
      </c>
      <c r="I34" s="90">
        <f>SUMIF('Dummy Table'!B$11:B$14,'Euro 2008 Schedule'!G34,'Dummy Table'!C$11:C$14)</f>
        <v>0</v>
      </c>
      <c r="J34" s="90">
        <f>SUMIF('Dummy Table'!B$11:B$14,'Euro 2008 Schedule'!G34,'Dummy Table'!D$11:D$14)</f>
        <v>0</v>
      </c>
      <c r="K34" s="90">
        <f>SUMIF('Dummy Table'!B$11:B$14,'Euro 2008 Schedule'!G34,'Dummy Table'!E$11:E$14)</f>
        <v>0</v>
      </c>
      <c r="L34" s="90" t="str">
        <f>CONCATENATE(SUMIF('Dummy Table'!B$11:B$14,'Euro 2008 Schedule'!G34,'Dummy Table'!F$11:F$14)," - ",SUMIF('Dummy Table'!B$11:B$14,'Euro 2008 Schedule'!G34,'Dummy Table'!G$11:G$14))</f>
        <v>0 - 0</v>
      </c>
      <c r="M34" s="91">
        <f>SUMIF('Dummy Table'!B$11:B$14,'Euro 2008 Schedule'!G34,'Dummy Table'!I$11:I$14)</f>
        <v>0</v>
      </c>
      <c r="N34" s="87"/>
      <c r="O34" s="87"/>
      <c r="P34" s="87"/>
      <c r="Q34" s="87"/>
      <c r="R34" s="7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24"/>
      <c r="AE34" s="24"/>
      <c r="AQ34" s="15"/>
      <c r="AR34" s="96"/>
      <c r="AS34" s="48"/>
      <c r="BD34" s="48"/>
      <c r="BE34" s="119"/>
      <c r="BH34" s="64"/>
      <c r="BI34" s="64"/>
      <c r="EE34" s="13" t="s">
        <v>193</v>
      </c>
      <c r="EF34" s="62" t="s">
        <v>440</v>
      </c>
    </row>
    <row r="35" spans="2:136" s="3" customFormat="1" ht="15" customHeight="1" thickBot="1">
      <c r="B35" s="6"/>
      <c r="C35" s="7"/>
      <c r="D35" s="9"/>
      <c r="E35" s="98">
        <v>2</v>
      </c>
      <c r="F35" s="97"/>
      <c r="G35" s="99" t="str">
        <f>VLOOKUP(2,'Dummy Table'!O11:P14,2,FALSE)</f>
        <v>Germany</v>
      </c>
      <c r="H35" s="98">
        <f>SUM(I35:K35)</f>
        <v>0</v>
      </c>
      <c r="I35" s="98">
        <f>SUMIF('Dummy Table'!B$11:B$14,'Euro 2008 Schedule'!G35,'Dummy Table'!C$11:C$14)</f>
        <v>0</v>
      </c>
      <c r="J35" s="98">
        <f>SUMIF('Dummy Table'!B$11:B$14,'Euro 2008 Schedule'!G35,'Dummy Table'!D$11:D$14)</f>
        <v>0</v>
      </c>
      <c r="K35" s="98">
        <f>SUMIF('Dummy Table'!B$11:B$14,'Euro 2008 Schedule'!G35,'Dummy Table'!E$11:E$14)</f>
        <v>0</v>
      </c>
      <c r="L35" s="98" t="str">
        <f>CONCATENATE(SUMIF('Dummy Table'!B$11:B$14,'Euro 2008 Schedule'!G35,'Dummy Table'!F$11:F$14)," - ",SUMIF('Dummy Table'!B$11:B$14,'Euro 2008 Schedule'!G35,'Dummy Table'!G$11:G$14))</f>
        <v>0 - 0</v>
      </c>
      <c r="M35" s="100">
        <f>SUMIF('Dummy Table'!B$11:B$14,'Euro 2008 Schedule'!G35,'Dummy Table'!I$11:I$14)</f>
        <v>0</v>
      </c>
      <c r="N35" s="97"/>
      <c r="O35" s="97"/>
      <c r="P35" s="107"/>
      <c r="Q35" s="87"/>
      <c r="R35" s="87"/>
      <c r="S35" s="87"/>
      <c r="T35" s="85" t="str">
        <f>IF(SUM(H34:H37)=12,G34,"Group B Winner")</f>
        <v>Group B Winner</v>
      </c>
      <c r="U35" s="85"/>
      <c r="V35" s="87"/>
      <c r="W35" s="95">
        <f>IF(Y35="","",IF(AND(Y35=Y45,Y35&lt;&gt;"",Y45&lt;&gt;""),IF(AND(AA35=AA45,AA35&lt;&gt;"",AA45&lt;&gt;""),IF(AND(AC35=AC45,AC35&lt;&gt;"",AC45&lt;&gt;""),"",Y35+AA35+AC35),Y35+AA35),Y35))</f>
      </c>
      <c r="X35" s="87"/>
      <c r="Y35" s="86"/>
      <c r="Z35" s="128"/>
      <c r="AA35" s="86"/>
      <c r="AB35" s="128"/>
      <c r="AC35" s="86"/>
      <c r="AD35" s="87"/>
      <c r="AE35" s="90"/>
      <c r="AQ35" s="15"/>
      <c r="AR35" s="96"/>
      <c r="AS35" s="48"/>
      <c r="BD35" s="48"/>
      <c r="BE35" s="119"/>
      <c r="BH35" s="64"/>
      <c r="BI35" s="64"/>
      <c r="EE35" s="13" t="s">
        <v>325</v>
      </c>
      <c r="EF35" s="62" t="s">
        <v>441</v>
      </c>
    </row>
    <row r="36" spans="2:136" s="3" customFormat="1" ht="15" customHeight="1">
      <c r="B36" s="6"/>
      <c r="C36" s="7"/>
      <c r="D36" s="9"/>
      <c r="E36" s="8">
        <v>3</v>
      </c>
      <c r="F36" s="7"/>
      <c r="G36" s="66" t="str">
        <f>VLOOKUP(3,'Dummy Table'!O11:P14,2,FALSE)</f>
        <v>Poland</v>
      </c>
      <c r="H36" s="8">
        <f>SUM(I36:K36)</f>
        <v>0</v>
      </c>
      <c r="I36" s="8">
        <f>SUMIF('Dummy Table'!B$11:B$14,'Euro 2008 Schedule'!G36,'Dummy Table'!C$11:C$14)</f>
        <v>0</v>
      </c>
      <c r="J36" s="8">
        <f>SUMIF('Dummy Table'!B$11:B$14,'Euro 2008 Schedule'!G36,'Dummy Table'!D$11:D$14)</f>
        <v>0</v>
      </c>
      <c r="K36" s="8">
        <f>SUMIF('Dummy Table'!B$11:B$14,'Euro 2008 Schedule'!G36,'Dummy Table'!E$11:E$14)</f>
        <v>0</v>
      </c>
      <c r="L36" s="8" t="str">
        <f>CONCATENATE(SUMIF('Dummy Table'!B$11:B$14,'Euro 2008 Schedule'!G36,'Dummy Table'!F$11:F$14)," - ",SUMIF('Dummy Table'!B$11:B$14,'Euro 2008 Schedule'!G36,'Dummy Table'!G$11:G$14))</f>
        <v>0 - 0</v>
      </c>
      <c r="M36" s="16">
        <f>SUMIF('Dummy Table'!B$11:B$14,'Euro 2008 Schedule'!G36,'Dummy Table'!I$11:I$14)</f>
        <v>0</v>
      </c>
      <c r="N36" s="7"/>
      <c r="O36" s="7"/>
      <c r="P36" s="97"/>
      <c r="Q36" s="7"/>
      <c r="R36" s="7"/>
      <c r="S36" s="48"/>
      <c r="T36" s="48"/>
      <c r="U36" s="48"/>
      <c r="V36" s="50"/>
      <c r="W36" s="48"/>
      <c r="X36" s="48"/>
      <c r="Y36" s="48"/>
      <c r="Z36" s="48"/>
      <c r="AA36" s="48"/>
      <c r="AB36" s="48"/>
      <c r="AC36" s="48"/>
      <c r="AD36" s="24"/>
      <c r="AE36" s="90"/>
      <c r="AQ36" s="15"/>
      <c r="AR36" s="96"/>
      <c r="AS36" s="48"/>
      <c r="BD36" s="48"/>
      <c r="BE36" s="119"/>
      <c r="BH36" s="64"/>
      <c r="BI36" s="64"/>
      <c r="EE36" s="13" t="s">
        <v>276</v>
      </c>
      <c r="EF36" s="62" t="s">
        <v>442</v>
      </c>
    </row>
    <row r="37" spans="2:136" s="3" customFormat="1" ht="15" customHeight="1">
      <c r="B37" s="20"/>
      <c r="C37" s="21"/>
      <c r="D37" s="22"/>
      <c r="E37" s="8">
        <v>4</v>
      </c>
      <c r="F37" s="7"/>
      <c r="G37" s="66" t="str">
        <f>VLOOKUP(4,'Dummy Table'!O11:P14,2,FALSE)</f>
        <v>Austria</v>
      </c>
      <c r="H37" s="8">
        <f>SUM(I37:K37)</f>
        <v>0</v>
      </c>
      <c r="I37" s="8">
        <f>SUMIF('Dummy Table'!B$11:B$14,'Euro 2008 Schedule'!G37,'Dummy Table'!C$11:C$14)</f>
        <v>0</v>
      </c>
      <c r="J37" s="8">
        <f>SUMIF('Dummy Table'!B$11:B$14,'Euro 2008 Schedule'!G37,'Dummy Table'!D$11:D$14)</f>
        <v>0</v>
      </c>
      <c r="K37" s="8">
        <f>SUMIF('Dummy Table'!B$11:B$14,'Euro 2008 Schedule'!G37,'Dummy Table'!E$11:E$14)</f>
        <v>0</v>
      </c>
      <c r="L37" s="8" t="str">
        <f>CONCATENATE(SUMIF('Dummy Table'!B$11:B$14,'Euro 2008 Schedule'!G37,'Dummy Table'!F$11:F$14)," - ",SUMIF('Dummy Table'!B$11:B$14,'Euro 2008 Schedule'!G37,'Dummy Table'!G$11:G$14))</f>
        <v>0 - 0</v>
      </c>
      <c r="M37" s="16">
        <f>SUMIF('Dummy Table'!B$11:B$14,'Euro 2008 Schedule'!G37,'Dummy Table'!I$11:I$14)</f>
        <v>0</v>
      </c>
      <c r="N37" s="7"/>
      <c r="O37" s="7"/>
      <c r="P37" s="97"/>
      <c r="Q37" s="7"/>
      <c r="R37" s="7"/>
      <c r="S37" s="48"/>
      <c r="AD37" s="24"/>
      <c r="AE37" s="87"/>
      <c r="AQ37" s="24"/>
      <c r="AR37" s="96"/>
      <c r="AS37" s="48"/>
      <c r="BD37" s="54"/>
      <c r="BE37" s="119"/>
      <c r="BH37" s="64"/>
      <c r="BI37" s="64"/>
      <c r="EE37" s="13" t="s">
        <v>244</v>
      </c>
      <c r="EF37" s="62" t="s">
        <v>443</v>
      </c>
    </row>
    <row r="38" spans="2:136" s="3" customFormat="1" ht="15" customHeight="1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9"/>
      <c r="N38" s="7"/>
      <c r="O38" s="7"/>
      <c r="P38" s="97"/>
      <c r="Q38" s="7"/>
      <c r="R38" s="7"/>
      <c r="S38" s="48"/>
      <c r="T38" s="53" t="s">
        <v>589</v>
      </c>
      <c r="U38" s="53"/>
      <c r="V38" s="48"/>
      <c r="AD38" s="24"/>
      <c r="AE38" s="87"/>
      <c r="AQ38" s="24"/>
      <c r="AR38" s="96"/>
      <c r="AS38" s="48"/>
      <c r="BD38" s="50"/>
      <c r="BE38" s="119"/>
      <c r="BH38" s="64"/>
      <c r="BI38" s="64"/>
      <c r="EE38" s="13" t="s">
        <v>101</v>
      </c>
      <c r="EF38" s="62" t="s">
        <v>444</v>
      </c>
    </row>
    <row r="39" spans="2:136" s="3" customFormat="1" ht="15" customHeight="1" thickBot="1">
      <c r="B39" s="79"/>
      <c r="C39" s="80" t="s">
        <v>30</v>
      </c>
      <c r="D39" s="80" t="s">
        <v>0</v>
      </c>
      <c r="E39" s="80" t="s">
        <v>1</v>
      </c>
      <c r="F39" s="71"/>
      <c r="G39" s="80" t="s">
        <v>38</v>
      </c>
      <c r="H39" s="142" t="s">
        <v>2</v>
      </c>
      <c r="I39" s="142"/>
      <c r="J39" s="142"/>
      <c r="K39" s="72"/>
      <c r="L39" s="80" t="s">
        <v>38</v>
      </c>
      <c r="M39" s="81"/>
      <c r="N39" s="7"/>
      <c r="O39" s="7"/>
      <c r="P39" s="97"/>
      <c r="Q39" s="7"/>
      <c r="R39" s="7"/>
      <c r="S39" s="48"/>
      <c r="T39" s="53" t="s">
        <v>599</v>
      </c>
      <c r="U39" s="53" t="s">
        <v>56</v>
      </c>
      <c r="V39" s="24" t="s">
        <v>600</v>
      </c>
      <c r="W39" s="48"/>
      <c r="X39" s="48"/>
      <c r="Y39" s="48"/>
      <c r="Z39" s="48"/>
      <c r="AA39" s="48"/>
      <c r="AB39" s="48"/>
      <c r="AC39" s="48"/>
      <c r="AD39" s="24"/>
      <c r="AE39" s="87"/>
      <c r="AQ39" s="24"/>
      <c r="AR39" s="96"/>
      <c r="AS39" s="48"/>
      <c r="AW39" s="48"/>
      <c r="AX39" s="48"/>
      <c r="AZ39" s="48"/>
      <c r="BB39" s="48"/>
      <c r="BD39" s="50"/>
      <c r="BE39" s="119"/>
      <c r="BH39" s="64"/>
      <c r="BI39" s="64"/>
      <c r="EE39" s="13" t="s">
        <v>342</v>
      </c>
      <c r="EF39" s="62" t="s">
        <v>445</v>
      </c>
    </row>
    <row r="40" spans="2:136" s="3" customFormat="1" ht="15" customHeight="1" thickBot="1"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9"/>
      <c r="N40" s="7"/>
      <c r="O40" s="7"/>
      <c r="P40" s="97"/>
      <c r="Q40" s="7"/>
      <c r="R40" s="7"/>
      <c r="S40" s="48"/>
      <c r="T40" s="89" t="s">
        <v>38</v>
      </c>
      <c r="U40" s="89" t="s">
        <v>56</v>
      </c>
      <c r="V40" s="3" t="s">
        <v>6</v>
      </c>
      <c r="W40" s="48"/>
      <c r="X40" s="48"/>
      <c r="Y40" s="50" t="s">
        <v>585</v>
      </c>
      <c r="Z40" s="48"/>
      <c r="AA40" s="50" t="s">
        <v>586</v>
      </c>
      <c r="AB40" s="48"/>
      <c r="AC40" s="50" t="s">
        <v>587</v>
      </c>
      <c r="AD40" s="24"/>
      <c r="AE40" s="96"/>
      <c r="AF40" s="111"/>
      <c r="AG40" s="112" t="str">
        <f>IF(AND(W35&lt;&gt;"",W45&lt;&gt;"",W35&lt;&gt;W45),IF(W35&gt;W45,T35,T45),"Match 26 Winner")</f>
        <v>Match 26 Winner</v>
      </c>
      <c r="AH40" s="113"/>
      <c r="AI40" s="116"/>
      <c r="AJ40" s="114">
        <f>IF(AL40="","",IF(AND(AL20=AL40,AL20&lt;&gt;"",AL40&lt;&gt;""),IF(AND(AN20=AN40,AN20&lt;&gt;"",AN40&lt;&gt;""),IF(AND(AP20=AP40,AP20&lt;&gt;"",AP40&lt;&gt;""),"",AL40+AN40+AP40),AL40+AN40),AL40))</f>
      </c>
      <c r="AK40" s="111"/>
      <c r="AL40" s="115"/>
      <c r="AM40" s="134"/>
      <c r="AN40" s="115"/>
      <c r="AO40" s="134"/>
      <c r="AP40" s="115"/>
      <c r="AQ40" s="96"/>
      <c r="AR40" s="96"/>
      <c r="AS40" s="48"/>
      <c r="AW40" s="48"/>
      <c r="AX40" s="48"/>
      <c r="AY40" s="53"/>
      <c r="AZ40" s="48"/>
      <c r="BA40" s="63"/>
      <c r="BB40" s="48"/>
      <c r="BC40" s="53"/>
      <c r="BD40" s="50"/>
      <c r="BE40" s="119"/>
      <c r="EE40" s="13" t="s">
        <v>367</v>
      </c>
      <c r="EF40" s="62" t="s">
        <v>446</v>
      </c>
    </row>
    <row r="41" spans="2:136" s="3" customFormat="1" ht="15" customHeight="1">
      <c r="B41" s="6"/>
      <c r="C41" s="8">
        <v>3</v>
      </c>
      <c r="D41" s="65">
        <f>E41</f>
        <v>39607.75</v>
      </c>
      <c r="E41" s="61">
        <f>Timezone!J4</f>
        <v>39607.75</v>
      </c>
      <c r="F41" s="24"/>
      <c r="G41" s="8" t="str">
        <f>INDEX(Language!B$2:BI$80,SUMIF('Row and Column'!A$5:A$21,"Austria",'Row and Column'!B$5:B$21),SUMIF('Row and Column'!D$5:D$75,I$3,'Row and Column'!E$5:E$75))</f>
        <v>Austria</v>
      </c>
      <c r="H41" s="25"/>
      <c r="I41" s="15" t="s">
        <v>3</v>
      </c>
      <c r="J41" s="25"/>
      <c r="K41" s="7"/>
      <c r="L41" s="8" t="str">
        <f>INDEX(Language!B$2:BI$80,SUMIF('Row and Column'!A$5:A$21,"Croatia",'Row and Column'!B$5:B$21),SUMIF('Row and Column'!D$5:D$75,I$3,'Row and Column'!E$5:E$75))</f>
        <v>Croatia</v>
      </c>
      <c r="M41" s="9"/>
      <c r="N41" s="7"/>
      <c r="O41" s="7"/>
      <c r="P41" s="97"/>
      <c r="Q41" s="7"/>
      <c r="R41" s="7"/>
      <c r="S41" s="48"/>
      <c r="T41" s="53" t="s">
        <v>0</v>
      </c>
      <c r="U41" s="53" t="s">
        <v>56</v>
      </c>
      <c r="V41" s="68">
        <f>V42</f>
        <v>39619.864583333336</v>
      </c>
      <c r="W41" s="48"/>
      <c r="X41" s="48"/>
      <c r="Y41" s="48"/>
      <c r="Z41" s="48"/>
      <c r="AA41" s="48"/>
      <c r="AB41" s="48"/>
      <c r="AC41" s="48"/>
      <c r="AD41" s="24"/>
      <c r="AE41" s="97"/>
      <c r="AQ41" s="24"/>
      <c r="AR41" s="24"/>
      <c r="AS41" s="48"/>
      <c r="AW41" s="48"/>
      <c r="AX41" s="48"/>
      <c r="AY41" s="53"/>
      <c r="AZ41" s="48"/>
      <c r="BA41" s="63"/>
      <c r="BB41" s="48"/>
      <c r="BC41" s="53"/>
      <c r="BD41" s="48"/>
      <c r="BE41" s="119"/>
      <c r="EE41" s="19"/>
      <c r="EF41" s="62" t="s">
        <v>447</v>
      </c>
    </row>
    <row r="42" spans="2:136" s="3" customFormat="1" ht="15" customHeight="1">
      <c r="B42" s="6"/>
      <c r="C42" s="8">
        <v>4</v>
      </c>
      <c r="D42" s="65">
        <f>E42</f>
        <v>39607.864583333336</v>
      </c>
      <c r="E42" s="61">
        <f>Timezone!J5</f>
        <v>39607.864583333336</v>
      </c>
      <c r="F42" s="24"/>
      <c r="G42" s="8" t="str">
        <f>INDEX(Language!B$2:BI$80,SUMIF('Row and Column'!A$5:A$21,"Germany",'Row and Column'!B$5:B$21),SUMIF('Row and Column'!D$5:D$75,I$3,'Row and Column'!E$5:E$75))</f>
        <v>Germany</v>
      </c>
      <c r="H42" s="25"/>
      <c r="I42" s="15" t="s">
        <v>3</v>
      </c>
      <c r="J42" s="25"/>
      <c r="K42" s="7"/>
      <c r="L42" s="8" t="str">
        <f>INDEX(Language!B$2:BI$80,SUMIF('Row and Column'!A$5:A$21,"Poland",'Row and Column'!B$5:B$21),SUMIF('Row and Column'!D$5:D$75,I$3,'Row and Column'!E$5:E$75))</f>
        <v>Poland</v>
      </c>
      <c r="M42" s="9"/>
      <c r="N42" s="7"/>
      <c r="O42" s="7"/>
      <c r="P42" s="97"/>
      <c r="Q42" s="7"/>
      <c r="R42" s="7"/>
      <c r="S42" s="48"/>
      <c r="T42" s="53" t="s">
        <v>1</v>
      </c>
      <c r="U42" s="53" t="s">
        <v>56</v>
      </c>
      <c r="V42" s="67">
        <f>Timezone!J27</f>
        <v>39619.864583333336</v>
      </c>
      <c r="W42" s="48"/>
      <c r="X42" s="48"/>
      <c r="Y42" s="48"/>
      <c r="Z42" s="48"/>
      <c r="AA42" s="48"/>
      <c r="AB42" s="48"/>
      <c r="AC42" s="48"/>
      <c r="AD42" s="24"/>
      <c r="AE42" s="97"/>
      <c r="AQ42" s="24"/>
      <c r="AR42" s="24"/>
      <c r="AS42" s="48"/>
      <c r="AW42" s="48"/>
      <c r="AX42" s="48"/>
      <c r="AY42" s="48"/>
      <c r="AZ42" s="48"/>
      <c r="BA42" s="48"/>
      <c r="BB42" s="48"/>
      <c r="BC42" s="48"/>
      <c r="BD42" s="48"/>
      <c r="BE42" s="119"/>
      <c r="EE42" s="19"/>
      <c r="EF42" s="62" t="s">
        <v>448</v>
      </c>
    </row>
    <row r="43" spans="2:136" s="3" customFormat="1" ht="15" customHeight="1">
      <c r="B43" s="6"/>
      <c r="C43" s="7"/>
      <c r="D43" s="7"/>
      <c r="E43" s="7"/>
      <c r="F43" s="7"/>
      <c r="G43" s="7"/>
      <c r="H43" s="126"/>
      <c r="I43" s="7"/>
      <c r="J43" s="126"/>
      <c r="K43" s="7"/>
      <c r="L43" s="7"/>
      <c r="M43" s="9"/>
      <c r="N43" s="7"/>
      <c r="O43" s="7"/>
      <c r="P43" s="97"/>
      <c r="Q43" s="7"/>
      <c r="R43" s="7"/>
      <c r="S43" s="50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24"/>
      <c r="AE43" s="97"/>
      <c r="AQ43" s="24"/>
      <c r="AR43" s="24"/>
      <c r="AS43" s="48"/>
      <c r="AT43" s="48"/>
      <c r="AU43" s="48"/>
      <c r="AV43" s="48"/>
      <c r="AW43" s="48"/>
      <c r="AX43" s="48"/>
      <c r="AZ43" s="48"/>
      <c r="BB43" s="48"/>
      <c r="BD43" s="48"/>
      <c r="BE43" s="119"/>
      <c r="EE43" s="5"/>
      <c r="EF43" s="62" t="s">
        <v>449</v>
      </c>
    </row>
    <row r="44" spans="2:136" s="3" customFormat="1" ht="15" customHeight="1" thickBot="1">
      <c r="B44" s="6"/>
      <c r="C44" s="8">
        <v>11</v>
      </c>
      <c r="D44" s="65">
        <f>E44</f>
        <v>39611.75</v>
      </c>
      <c r="E44" s="61">
        <f>Timezone!J12</f>
        <v>39611.75</v>
      </c>
      <c r="F44" s="24"/>
      <c r="G44" s="8" t="str">
        <f>INDEX(Language!B$2:BI$80,SUMIF('Row and Column'!A$5:A$21,"Croatia",'Row and Column'!B$5:B$21),SUMIF('Row and Column'!D$5:D$75,I$3,'Row and Column'!E$5:E$75))</f>
        <v>Croatia</v>
      </c>
      <c r="H44" s="25"/>
      <c r="I44" s="15" t="s">
        <v>3</v>
      </c>
      <c r="J44" s="25"/>
      <c r="K44" s="7"/>
      <c r="L44" s="8" t="str">
        <f>INDEX(Language!B$2:BI$80,SUMIF('Row and Column'!A$5:A$21,"Germany",'Row and Column'!B$5:B$21),SUMIF('Row and Column'!D$5:D$75,I$3,'Row and Column'!E$5:E$75))</f>
        <v>Germany</v>
      </c>
      <c r="M44" s="9"/>
      <c r="N44" s="7"/>
      <c r="O44" s="7"/>
      <c r="P44" s="97"/>
      <c r="Q44" s="7"/>
      <c r="R44" s="7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24"/>
      <c r="AE44" s="97"/>
      <c r="AQ44" s="24"/>
      <c r="AR44" s="24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119"/>
      <c r="EE44" s="5"/>
      <c r="EF44" s="62" t="s">
        <v>450</v>
      </c>
    </row>
    <row r="45" spans="2:136" s="3" customFormat="1" ht="15" customHeight="1" thickBot="1">
      <c r="B45" s="6"/>
      <c r="C45" s="8">
        <v>12</v>
      </c>
      <c r="D45" s="65">
        <f>E45</f>
        <v>39611.864583333336</v>
      </c>
      <c r="E45" s="61">
        <f>Timezone!J13</f>
        <v>39611.864583333336</v>
      </c>
      <c r="F45" s="24"/>
      <c r="G45" s="8" t="str">
        <f>INDEX(Language!B$2:BI$80,SUMIF('Row and Column'!A$5:A$21,"Austria",'Row and Column'!B$5:B$21),SUMIF('Row and Column'!D$5:D$75,I$3,'Row and Column'!E$5:E$75))</f>
        <v>Austria</v>
      </c>
      <c r="H45" s="25"/>
      <c r="I45" s="15" t="s">
        <v>3</v>
      </c>
      <c r="J45" s="25"/>
      <c r="K45" s="7"/>
      <c r="L45" s="8" t="str">
        <f>INDEX(Language!B$2:BI$80,SUMIF('Row and Column'!A$5:A$21,"Poland",'Row and Column'!B$5:B$21),SUMIF('Row and Column'!D$5:D$75,I$3,'Row and Column'!E$5:E$75))</f>
        <v>Poland</v>
      </c>
      <c r="M45" s="9"/>
      <c r="N45" s="7"/>
      <c r="O45" s="7"/>
      <c r="P45" s="97"/>
      <c r="Q45" s="97"/>
      <c r="R45" s="97"/>
      <c r="S45" s="101"/>
      <c r="T45" s="99" t="str">
        <f>IF(SUM(H15:H18)=12,G16,"Group A Runner Up")</f>
        <v>Group A Runner Up</v>
      </c>
      <c r="U45" s="99"/>
      <c r="V45" s="102"/>
      <c r="W45" s="103">
        <f>IF(Y45="","",IF(AND(Y35=Y45,Y35&lt;&gt;"",Y45&lt;&gt;""),IF(AND(AA35=AA45,AA35&lt;&gt;"",AA45&lt;&gt;""),IF(AND(AC35=AC45,AC35&lt;&gt;"",AC45&lt;&gt;""),"",Y45+AA45+AC45),Y45+AA45),Y45))</f>
      </c>
      <c r="X45" s="101"/>
      <c r="Y45" s="104"/>
      <c r="Z45" s="130"/>
      <c r="AA45" s="104"/>
      <c r="AB45" s="130"/>
      <c r="AC45" s="104"/>
      <c r="AD45" s="97"/>
      <c r="AE45" s="97"/>
      <c r="AQ45" s="24"/>
      <c r="AR45" s="24"/>
      <c r="AS45" s="48"/>
      <c r="BD45" s="48"/>
      <c r="BE45" s="119"/>
      <c r="EE45" s="5"/>
      <c r="EF45" s="62" t="s">
        <v>451</v>
      </c>
    </row>
    <row r="46" spans="2:136" s="3" customFormat="1" ht="15" customHeight="1">
      <c r="B46" s="6"/>
      <c r="C46" s="7"/>
      <c r="D46" s="7"/>
      <c r="E46" s="7"/>
      <c r="F46" s="7"/>
      <c r="G46" s="7"/>
      <c r="H46" s="126"/>
      <c r="I46" s="7"/>
      <c r="J46" s="126"/>
      <c r="K46" s="7"/>
      <c r="L46" s="7"/>
      <c r="M46" s="9"/>
      <c r="N46" s="7"/>
      <c r="O46" s="7"/>
      <c r="P46" s="7"/>
      <c r="Q46" s="7"/>
      <c r="R46" s="7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24"/>
      <c r="AE46" s="24"/>
      <c r="AQ46" s="24"/>
      <c r="AR46" s="24"/>
      <c r="AS46" s="48"/>
      <c r="AT46" s="48"/>
      <c r="AU46" s="48"/>
      <c r="AV46" s="50"/>
      <c r="AW46" s="48"/>
      <c r="AX46" s="48"/>
      <c r="AY46" s="48"/>
      <c r="AZ46" s="48"/>
      <c r="BA46" s="48"/>
      <c r="BB46" s="48"/>
      <c r="BC46" s="48"/>
      <c r="BD46" s="48"/>
      <c r="BE46" s="119"/>
      <c r="EE46" s="5"/>
      <c r="EF46" s="62" t="s">
        <v>452</v>
      </c>
    </row>
    <row r="47" spans="2:136" s="3" customFormat="1" ht="15" customHeight="1">
      <c r="B47" s="6"/>
      <c r="C47" s="8">
        <v>19</v>
      </c>
      <c r="D47" s="65">
        <f>E47</f>
        <v>39615.864583333336</v>
      </c>
      <c r="E47" s="61">
        <f>Timezone!J20</f>
        <v>39615.864583333336</v>
      </c>
      <c r="F47" s="24"/>
      <c r="G47" s="8" t="str">
        <f>INDEX(Language!B$2:BI$80,SUMIF('Row and Column'!A$5:A$21,"Poland",'Row and Column'!B$5:B$21),SUMIF('Row and Column'!D$5:D$75,I$3,'Row and Column'!E$5:E$75))</f>
        <v>Poland</v>
      </c>
      <c r="H47" s="25"/>
      <c r="I47" s="15" t="s">
        <v>3</v>
      </c>
      <c r="J47" s="25"/>
      <c r="K47" s="7"/>
      <c r="L47" s="8" t="str">
        <f>INDEX(Language!B$2:BI$80,SUMIF('Row and Column'!A$5:A$21,"Croatia",'Row and Column'!B$5:B$21),SUMIF('Row and Column'!D$5:D$75,I$3,'Row and Column'!E$5:E$75))</f>
        <v>Croatia</v>
      </c>
      <c r="M47" s="9"/>
      <c r="N47" s="7"/>
      <c r="O47" s="7"/>
      <c r="P47" s="7"/>
      <c r="Q47" s="7"/>
      <c r="R47" s="7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24"/>
      <c r="AE47" s="24"/>
      <c r="AQ47" s="24"/>
      <c r="AR47" s="24"/>
      <c r="AS47" s="48"/>
      <c r="BD47" s="48"/>
      <c r="BE47" s="119"/>
      <c r="EE47" s="5"/>
      <c r="EF47" s="62" t="s">
        <v>453</v>
      </c>
    </row>
    <row r="48" spans="2:136" s="3" customFormat="1" ht="15" customHeight="1">
      <c r="B48" s="6"/>
      <c r="C48" s="8">
        <v>20</v>
      </c>
      <c r="D48" s="65">
        <f>E48</f>
        <v>39615.864583333336</v>
      </c>
      <c r="E48" s="61">
        <f>Timezone!J21</f>
        <v>39615.864583333336</v>
      </c>
      <c r="F48" s="24"/>
      <c r="G48" s="8" t="str">
        <f>INDEX(Language!B$2:BI$80,SUMIF('Row and Column'!A$5:A$21,"Austria",'Row and Column'!B$5:B$21),SUMIF('Row and Column'!D$5:D$75,I$3,'Row and Column'!E$5:E$75))</f>
        <v>Austria</v>
      </c>
      <c r="H48" s="25"/>
      <c r="I48" s="15" t="s">
        <v>3</v>
      </c>
      <c r="J48" s="25"/>
      <c r="K48" s="7"/>
      <c r="L48" s="8" t="str">
        <f>INDEX(Language!B$2:BI$80,SUMIF('Row and Column'!A$5:A$21,"Germany",'Row and Column'!B$5:B$21),SUMIF('Row and Column'!D$5:D$75,I$3,'Row and Column'!E$5:E$75))</f>
        <v>Germany</v>
      </c>
      <c r="M48" s="9"/>
      <c r="N48" s="7"/>
      <c r="O48" s="7"/>
      <c r="P48" s="7"/>
      <c r="Q48" s="7"/>
      <c r="R48" s="7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24"/>
      <c r="AE48" s="24"/>
      <c r="AQ48" s="24"/>
      <c r="AR48" s="24"/>
      <c r="AS48" s="48"/>
      <c r="AT48" s="53" t="s">
        <v>590</v>
      </c>
      <c r="AU48" s="53"/>
      <c r="AV48" s="48"/>
      <c r="BD48" s="48"/>
      <c r="BE48" s="119"/>
      <c r="EE48" s="5"/>
      <c r="EF48" s="62" t="s">
        <v>454</v>
      </c>
    </row>
    <row r="49" spans="2:136" s="3" customFormat="1" ht="15" customHeight="1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7"/>
      <c r="O49" s="7"/>
      <c r="P49" s="7"/>
      <c r="Q49" s="7"/>
      <c r="R49" s="7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24"/>
      <c r="AE49" s="24"/>
      <c r="AQ49" s="24"/>
      <c r="AR49" s="24"/>
      <c r="AS49" s="48"/>
      <c r="AT49" s="53" t="s">
        <v>599</v>
      </c>
      <c r="AU49" s="53" t="s">
        <v>56</v>
      </c>
      <c r="AV49" s="24" t="s">
        <v>600</v>
      </c>
      <c r="AW49" s="50"/>
      <c r="AX49" s="50"/>
      <c r="AY49" s="48"/>
      <c r="AZ49" s="50"/>
      <c r="BA49" s="48"/>
      <c r="BB49" s="50"/>
      <c r="BC49" s="48"/>
      <c r="BD49" s="48"/>
      <c r="BE49" s="119"/>
      <c r="BF49" s="118"/>
      <c r="BG49" s="118"/>
      <c r="BH49" s="118"/>
      <c r="BI49" s="118"/>
      <c r="BJ49" s="118"/>
      <c r="EE49" s="5"/>
      <c r="EF49" s="62" t="s">
        <v>455</v>
      </c>
    </row>
    <row r="50" spans="3:136" s="3" customFormat="1" ht="15" customHeight="1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24"/>
      <c r="AE50" s="24"/>
      <c r="AQ50" s="24"/>
      <c r="AR50" s="24"/>
      <c r="AS50" s="48"/>
      <c r="AT50" s="89" t="s">
        <v>38</v>
      </c>
      <c r="AU50" s="89" t="s">
        <v>56</v>
      </c>
      <c r="AV50" s="3" t="s">
        <v>6</v>
      </c>
      <c r="AX50" s="48"/>
      <c r="AY50" s="50" t="s">
        <v>585</v>
      </c>
      <c r="AZ50" s="48"/>
      <c r="BA50" s="50" t="s">
        <v>586</v>
      </c>
      <c r="BB50" s="48"/>
      <c r="BC50" s="50" t="s">
        <v>587</v>
      </c>
      <c r="BD50" s="48"/>
      <c r="BE50" s="119"/>
      <c r="BF50" s="118"/>
      <c r="BG50" s="120" t="str">
        <f>UPPER(IF(AND(AW30&lt;&gt;"",AW70&lt;&gt;"",AW30&lt;&gt;AW70),IF(AW30&gt;AW70,AT30,AT70),"MATCH 31 WINNER"))</f>
        <v>MATCH 31 WINNER</v>
      </c>
      <c r="BH50" s="120"/>
      <c r="BI50" s="121"/>
      <c r="BJ50" s="118"/>
      <c r="EE50" s="5"/>
      <c r="EF50" s="62" t="s">
        <v>456</v>
      </c>
    </row>
    <row r="51" spans="2:136" s="3" customFormat="1" ht="15" customHeight="1">
      <c r="B51" s="73"/>
      <c r="C51" s="74" t="s">
        <v>595</v>
      </c>
      <c r="D51" s="75"/>
      <c r="E51" s="76" t="s">
        <v>594</v>
      </c>
      <c r="F51" s="11"/>
      <c r="G51" s="82" t="s">
        <v>38</v>
      </c>
      <c r="H51" s="76" t="s">
        <v>416</v>
      </c>
      <c r="I51" s="76" t="s">
        <v>21</v>
      </c>
      <c r="J51" s="76" t="s">
        <v>22</v>
      </c>
      <c r="K51" s="76" t="s">
        <v>23</v>
      </c>
      <c r="L51" s="76" t="s">
        <v>24</v>
      </c>
      <c r="M51" s="77" t="s">
        <v>417</v>
      </c>
      <c r="N51" s="7"/>
      <c r="O51" s="7"/>
      <c r="P51" s="7"/>
      <c r="Q51" s="7"/>
      <c r="R51" s="7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E51" s="24"/>
      <c r="AQ51" s="24"/>
      <c r="AR51" s="24"/>
      <c r="AS51" s="48"/>
      <c r="AT51" s="53" t="s">
        <v>0</v>
      </c>
      <c r="AU51" s="53" t="s">
        <v>56</v>
      </c>
      <c r="AV51" s="68">
        <f>AV52</f>
        <v>39628.864583333336</v>
      </c>
      <c r="AW51" s="48"/>
      <c r="AX51" s="48"/>
      <c r="AY51" s="48"/>
      <c r="AZ51" s="48"/>
      <c r="BA51" s="48"/>
      <c r="BB51" s="48"/>
      <c r="BC51" s="48"/>
      <c r="BD51" s="48"/>
      <c r="BE51" s="119"/>
      <c r="BF51" s="118"/>
      <c r="BG51" s="118"/>
      <c r="BH51" s="118"/>
      <c r="BI51" s="118"/>
      <c r="BJ51" s="118"/>
      <c r="EE51" s="5"/>
      <c r="EF51" s="62" t="s">
        <v>457</v>
      </c>
    </row>
    <row r="52" spans="2:136" s="3" customFormat="1" ht="15" customHeight="1">
      <c r="B52" s="10"/>
      <c r="C52" s="11"/>
      <c r="D52" s="12"/>
      <c r="E52" s="7"/>
      <c r="F52" s="7"/>
      <c r="G52" s="7"/>
      <c r="H52" s="7"/>
      <c r="I52" s="7"/>
      <c r="J52" s="7"/>
      <c r="K52" s="7"/>
      <c r="L52" s="7"/>
      <c r="M52" s="9"/>
      <c r="N52" s="7"/>
      <c r="O52" s="7"/>
      <c r="P52" s="7"/>
      <c r="Q52" s="7"/>
      <c r="R52" s="7"/>
      <c r="S52" s="48"/>
      <c r="AD52" s="24"/>
      <c r="AQ52" s="24"/>
      <c r="AR52" s="24"/>
      <c r="AS52" s="48"/>
      <c r="AT52" s="53" t="s">
        <v>1</v>
      </c>
      <c r="AU52" s="53" t="s">
        <v>56</v>
      </c>
      <c r="AV52" s="67">
        <f>Timezone!J32</f>
        <v>39628.864583333336</v>
      </c>
      <c r="AW52" s="48"/>
      <c r="AX52" s="48"/>
      <c r="AY52" s="48"/>
      <c r="AZ52" s="48"/>
      <c r="BA52" s="48"/>
      <c r="BB52" s="48"/>
      <c r="BC52" s="48"/>
      <c r="BD52" s="48"/>
      <c r="BE52" s="119"/>
      <c r="EE52" s="5"/>
      <c r="EF52" s="62" t="s">
        <v>458</v>
      </c>
    </row>
    <row r="53" spans="2:136" s="3" customFormat="1" ht="15" customHeight="1">
      <c r="B53" s="6"/>
      <c r="C53" s="7"/>
      <c r="D53" s="9"/>
      <c r="E53" s="90">
        <v>1</v>
      </c>
      <c r="F53" s="87"/>
      <c r="G53" s="85" t="str">
        <f>VLOOKUP(1,'Dummy Table'!O18:P21,2,FALSE)</f>
        <v>Netherlands</v>
      </c>
      <c r="H53" s="90">
        <f>SUM(I53:K53)</f>
        <v>0</v>
      </c>
      <c r="I53" s="90">
        <f>SUMIF('Dummy Table'!B$18:B$21,'Euro 2008 Schedule'!G53,'Dummy Table'!C$18:C$21)</f>
        <v>0</v>
      </c>
      <c r="J53" s="90">
        <f>SUMIF('Dummy Table'!B$18:B$21,'Euro 2008 Schedule'!G53,'Dummy Table'!D$18:D$21)</f>
        <v>0</v>
      </c>
      <c r="K53" s="90">
        <f>SUMIF('Dummy Table'!B$18:B$21,'Euro 2008 Schedule'!G53,'Dummy Table'!E$18:E$21)</f>
        <v>0</v>
      </c>
      <c r="L53" s="90" t="str">
        <f>CONCATENATE(SUMIF('Dummy Table'!B$18:B$21,'Euro 2008 Schedule'!G53,'Dummy Table'!F$18:F$21)," - ",SUMIF('Dummy Table'!B$18:B$21,'Euro 2008 Schedule'!G53,'Dummy Table'!G$18:G$21))</f>
        <v>0 - 0</v>
      </c>
      <c r="M53" s="91">
        <f>SUMIF('Dummy Table'!B$18:B$21,'Euro 2008 Schedule'!G53,'Dummy Table'!I$18:I$21)</f>
        <v>0</v>
      </c>
      <c r="N53" s="87"/>
      <c r="O53" s="87"/>
      <c r="P53" s="87"/>
      <c r="Q53" s="87"/>
      <c r="R53" s="7"/>
      <c r="S53" s="48"/>
      <c r="T53" s="48"/>
      <c r="U53" s="48"/>
      <c r="V53" s="48"/>
      <c r="W53" s="48"/>
      <c r="X53" s="48"/>
      <c r="Y53" s="50"/>
      <c r="Z53" s="48"/>
      <c r="AA53" s="50"/>
      <c r="AB53" s="48"/>
      <c r="AC53" s="50"/>
      <c r="AD53" s="24"/>
      <c r="AE53" s="24"/>
      <c r="AQ53" s="24"/>
      <c r="AR53" s="24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119"/>
      <c r="EE53" s="5"/>
      <c r="EF53" s="62" t="s">
        <v>459</v>
      </c>
    </row>
    <row r="54" spans="2:136" s="3" customFormat="1" ht="15" customHeight="1" thickBot="1">
      <c r="B54" s="6"/>
      <c r="C54" s="7"/>
      <c r="D54" s="9"/>
      <c r="E54" s="98">
        <v>2</v>
      </c>
      <c r="F54" s="97"/>
      <c r="G54" s="99" t="str">
        <f>VLOOKUP(2,'Dummy Table'!O18:P21,2,FALSE)</f>
        <v>Italy</v>
      </c>
      <c r="H54" s="98">
        <f>SUM(I54:K54)</f>
        <v>0</v>
      </c>
      <c r="I54" s="98">
        <f>SUMIF('Dummy Table'!B$18:B$21,'Euro 2008 Schedule'!G54,'Dummy Table'!C$18:C$21)</f>
        <v>0</v>
      </c>
      <c r="J54" s="98">
        <f>SUMIF('Dummy Table'!B$18:B$21,'Euro 2008 Schedule'!G54,'Dummy Table'!D$18:D$21)</f>
        <v>0</v>
      </c>
      <c r="K54" s="98">
        <f>SUMIF('Dummy Table'!B$18:B$21,'Euro 2008 Schedule'!G54,'Dummy Table'!E$18:E$21)</f>
        <v>0</v>
      </c>
      <c r="L54" s="98" t="str">
        <f>CONCATENATE(SUMIF('Dummy Table'!B$18:B$21,'Euro 2008 Schedule'!G54,'Dummy Table'!F$18:F$21)," - ",SUMIF('Dummy Table'!B$18:B$21,'Euro 2008 Schedule'!G54,'Dummy Table'!G$18:G$21))</f>
        <v>0 - 0</v>
      </c>
      <c r="M54" s="100">
        <f>SUMIF('Dummy Table'!B$18:B$21,'Euro 2008 Schedule'!G54,'Dummy Table'!I$18:I$21)</f>
        <v>0</v>
      </c>
      <c r="N54" s="97"/>
      <c r="O54" s="97"/>
      <c r="P54" s="97"/>
      <c r="Q54" s="87"/>
      <c r="R54" s="7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24"/>
      <c r="AE54" s="24"/>
      <c r="AQ54" s="24"/>
      <c r="AR54" s="24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119"/>
      <c r="EE54" s="5"/>
      <c r="EF54" s="62" t="s">
        <v>460</v>
      </c>
    </row>
    <row r="55" spans="2:136" s="3" customFormat="1" ht="15" customHeight="1" thickBot="1">
      <c r="B55" s="6"/>
      <c r="C55" s="7"/>
      <c r="D55" s="9"/>
      <c r="E55" s="8">
        <v>3</v>
      </c>
      <c r="F55" s="7"/>
      <c r="G55" s="66" t="str">
        <f>VLOOKUP(3,'Dummy Table'!O18:P21,2,FALSE)</f>
        <v>Romania</v>
      </c>
      <c r="H55" s="8">
        <f>SUM(I55:K55)</f>
        <v>0</v>
      </c>
      <c r="I55" s="8">
        <f>SUMIF('Dummy Table'!B$18:B$21,'Euro 2008 Schedule'!G55,'Dummy Table'!C$18:C$21)</f>
        <v>0</v>
      </c>
      <c r="J55" s="8">
        <f>SUMIF('Dummy Table'!B$18:B$21,'Euro 2008 Schedule'!G55,'Dummy Table'!D$18:D$21)</f>
        <v>0</v>
      </c>
      <c r="K55" s="8">
        <f>SUMIF('Dummy Table'!B$18:B$21,'Euro 2008 Schedule'!G55,'Dummy Table'!E$18:E$21)</f>
        <v>0</v>
      </c>
      <c r="L55" s="8" t="str">
        <f>CONCATENATE(SUMIF('Dummy Table'!B$18:B$21,'Euro 2008 Schedule'!G55,'Dummy Table'!F$18:F$21)," - ",SUMIF('Dummy Table'!B$18:B$21,'Euro 2008 Schedule'!G55,'Dummy Table'!G$18:G$21))</f>
        <v>0 - 0</v>
      </c>
      <c r="M55" s="16">
        <f>SUMIF('Dummy Table'!B$18:B$21,'Euro 2008 Schedule'!G55,'Dummy Table'!I$18:I$21)</f>
        <v>0</v>
      </c>
      <c r="N55" s="7"/>
      <c r="O55" s="7"/>
      <c r="P55" s="97"/>
      <c r="Q55" s="87"/>
      <c r="R55" s="87"/>
      <c r="S55" s="84"/>
      <c r="T55" s="85" t="str">
        <f>IF(SUM(H53:H56)=12,G53,"Group C Winner")</f>
        <v>Group C Winner</v>
      </c>
      <c r="U55" s="85"/>
      <c r="V55" s="84"/>
      <c r="W55" s="95">
        <f>IF(Y55="","",IF(AND(Y55=Y65,Y55&lt;&gt;"",Y65&lt;&gt;""),IF(AND(AA55=AA65,AA55&lt;&gt;"",AA65&lt;&gt;""),IF(AND(AC55=AC65,AC55&lt;&gt;"",AC65&lt;&gt;""),"",Y55+AA55+AC55),Y55+AA55),Y55))</f>
      </c>
      <c r="X55" s="84"/>
      <c r="Y55" s="86"/>
      <c r="Z55" s="131"/>
      <c r="AA55" s="86"/>
      <c r="AB55" s="131"/>
      <c r="AC55" s="86"/>
      <c r="AD55" s="87"/>
      <c r="AE55" s="87"/>
      <c r="AQ55" s="24"/>
      <c r="AR55" s="24"/>
      <c r="AS55" s="48"/>
      <c r="AT55" s="48"/>
      <c r="AU55" s="48"/>
      <c r="AV55" s="48"/>
      <c r="AX55" s="48"/>
      <c r="AY55" s="48"/>
      <c r="AZ55" s="48"/>
      <c r="BA55" s="48"/>
      <c r="BB55" s="48"/>
      <c r="BC55" s="48"/>
      <c r="BD55" s="50"/>
      <c r="BE55" s="119"/>
      <c r="EE55" s="5"/>
      <c r="EF55" s="62" t="s">
        <v>461</v>
      </c>
    </row>
    <row r="56" spans="2:136" s="3" customFormat="1" ht="15" customHeight="1">
      <c r="B56" s="20"/>
      <c r="C56" s="21"/>
      <c r="D56" s="22"/>
      <c r="E56" s="8">
        <v>4</v>
      </c>
      <c r="F56" s="7"/>
      <c r="G56" s="66" t="str">
        <f>VLOOKUP(4,'Dummy Table'!O18:P21,2,FALSE)</f>
        <v>France</v>
      </c>
      <c r="H56" s="8">
        <f>SUM(I56:K56)</f>
        <v>0</v>
      </c>
      <c r="I56" s="8">
        <f>SUMIF('Dummy Table'!B$18:B$21,'Euro 2008 Schedule'!G56,'Dummy Table'!C$18:C$21)</f>
        <v>0</v>
      </c>
      <c r="J56" s="8">
        <f>SUMIF('Dummy Table'!B$18:B$21,'Euro 2008 Schedule'!G56,'Dummy Table'!D$18:D$21)</f>
        <v>0</v>
      </c>
      <c r="K56" s="8">
        <f>SUMIF('Dummy Table'!B$18:B$21,'Euro 2008 Schedule'!G56,'Dummy Table'!E$18:E$21)</f>
        <v>0</v>
      </c>
      <c r="L56" s="8" t="str">
        <f>CONCATENATE(SUMIF('Dummy Table'!B$18:B$21,'Euro 2008 Schedule'!G56,'Dummy Table'!F$18:F$21)," - ",SUMIF('Dummy Table'!B$18:B$21,'Euro 2008 Schedule'!G56,'Dummy Table'!G$18:G$21))</f>
        <v>0 - 0</v>
      </c>
      <c r="M56" s="16">
        <f>SUMIF('Dummy Table'!B$18:B$21,'Euro 2008 Schedule'!G56,'Dummy Table'!I$18:I$21)</f>
        <v>0</v>
      </c>
      <c r="N56" s="7"/>
      <c r="O56" s="7"/>
      <c r="P56" s="97"/>
      <c r="Q56" s="7"/>
      <c r="R56" s="7"/>
      <c r="S56" s="48"/>
      <c r="X56" s="48"/>
      <c r="Y56" s="48"/>
      <c r="Z56" s="48"/>
      <c r="AA56" s="48"/>
      <c r="AB56" s="48"/>
      <c r="AC56" s="48"/>
      <c r="AD56" s="24"/>
      <c r="AE56" s="87"/>
      <c r="AQ56" s="24"/>
      <c r="AR56" s="24"/>
      <c r="AS56" s="48"/>
      <c r="AT56" s="48"/>
      <c r="AU56" s="48"/>
      <c r="AV56" s="48"/>
      <c r="AX56" s="48"/>
      <c r="AY56" s="48"/>
      <c r="AZ56" s="48"/>
      <c r="BA56" s="48"/>
      <c r="BB56" s="48"/>
      <c r="BC56" s="48"/>
      <c r="BD56" s="50"/>
      <c r="BE56" s="119"/>
      <c r="EE56" s="5"/>
      <c r="EF56" s="62" t="s">
        <v>462</v>
      </c>
    </row>
    <row r="57" spans="2:136" s="3" customFormat="1" ht="15" customHeight="1"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9"/>
      <c r="N57" s="7"/>
      <c r="O57" s="7"/>
      <c r="P57" s="97"/>
      <c r="Q57" s="7"/>
      <c r="R57" s="7"/>
      <c r="S57" s="48"/>
      <c r="AD57" s="24"/>
      <c r="AE57" s="87"/>
      <c r="AQ57" s="24"/>
      <c r="AR57" s="24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50"/>
      <c r="BE57" s="119"/>
      <c r="EE57" s="5"/>
      <c r="EF57" s="62" t="s">
        <v>463</v>
      </c>
    </row>
    <row r="58" spans="2:136" s="3" customFormat="1" ht="15" customHeight="1">
      <c r="B58" s="79"/>
      <c r="C58" s="80" t="s">
        <v>30</v>
      </c>
      <c r="D58" s="80" t="s">
        <v>0</v>
      </c>
      <c r="E58" s="80" t="s">
        <v>1</v>
      </c>
      <c r="F58" s="71"/>
      <c r="G58" s="80" t="s">
        <v>38</v>
      </c>
      <c r="H58" s="142" t="s">
        <v>2</v>
      </c>
      <c r="I58" s="142"/>
      <c r="J58" s="142"/>
      <c r="K58" s="72"/>
      <c r="L58" s="80" t="s">
        <v>38</v>
      </c>
      <c r="M58" s="81"/>
      <c r="N58" s="7"/>
      <c r="O58" s="7"/>
      <c r="P58" s="97"/>
      <c r="Q58" s="7"/>
      <c r="R58" s="7"/>
      <c r="S58" s="50"/>
      <c r="T58" s="53" t="s">
        <v>591</v>
      </c>
      <c r="U58" s="53"/>
      <c r="V58" s="48"/>
      <c r="W58" s="50"/>
      <c r="AD58" s="24"/>
      <c r="AE58" s="87"/>
      <c r="AQ58" s="24"/>
      <c r="AR58" s="24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50"/>
      <c r="BE58" s="119"/>
      <c r="EE58" s="5"/>
      <c r="EF58" s="62" t="s">
        <v>464</v>
      </c>
    </row>
    <row r="59" spans="2:136" s="3" customFormat="1" ht="15" customHeight="1" thickBot="1"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9"/>
      <c r="N59" s="7"/>
      <c r="O59" s="7"/>
      <c r="P59" s="97"/>
      <c r="Q59" s="7"/>
      <c r="R59" s="7"/>
      <c r="S59" s="48"/>
      <c r="T59" s="53" t="s">
        <v>597</v>
      </c>
      <c r="U59" s="53" t="s">
        <v>56</v>
      </c>
      <c r="V59" s="24" t="s">
        <v>598</v>
      </c>
      <c r="W59" s="50"/>
      <c r="AD59" s="24"/>
      <c r="AE59" s="87"/>
      <c r="AF59" s="48"/>
      <c r="AJ59" s="50"/>
      <c r="AK59" s="48"/>
      <c r="AL59" s="48"/>
      <c r="AM59" s="48"/>
      <c r="AN59" s="48"/>
      <c r="AO59" s="48"/>
      <c r="AQ59" s="24"/>
      <c r="AR59" s="24"/>
      <c r="AS59" s="48"/>
      <c r="AT59" s="48"/>
      <c r="AU59" s="48"/>
      <c r="AV59" s="48"/>
      <c r="AW59" s="50"/>
      <c r="AX59" s="48"/>
      <c r="AY59" s="48"/>
      <c r="AZ59" s="48"/>
      <c r="BA59" s="48"/>
      <c r="BB59" s="48"/>
      <c r="BC59" s="50"/>
      <c r="BD59" s="48"/>
      <c r="BE59" s="119"/>
      <c r="EE59" s="5"/>
      <c r="EF59" s="62" t="s">
        <v>465</v>
      </c>
    </row>
    <row r="60" spans="2:136" s="3" customFormat="1" ht="15" customHeight="1" thickBot="1">
      <c r="B60" s="6"/>
      <c r="C60" s="8">
        <v>5</v>
      </c>
      <c r="D60" s="65">
        <f>E60</f>
        <v>39608.75</v>
      </c>
      <c r="E60" s="61">
        <f>Timezone!J6</f>
        <v>39608.75</v>
      </c>
      <c r="F60" s="24"/>
      <c r="G60" s="8" t="str">
        <f>INDEX(Language!B$2:BI$80,SUMIF('Row and Column'!A$5:A$21,"Romania",'Row and Column'!B$5:B$21),SUMIF('Row and Column'!D$5:D$75,I$3,'Row and Column'!E$5:E$75))</f>
        <v>Romania</v>
      </c>
      <c r="H60" s="25"/>
      <c r="I60" s="15" t="s">
        <v>3</v>
      </c>
      <c r="J60" s="25"/>
      <c r="K60" s="7"/>
      <c r="L60" s="8" t="str">
        <f>INDEX(Language!B$2:BI$80,SUMIF('Row and Column'!A$5:A$21,"France",'Row and Column'!B$5:B$21),SUMIF('Row and Column'!D$5:D$75,I$3,'Row and Column'!E$5:E$75))</f>
        <v>France</v>
      </c>
      <c r="M60" s="9"/>
      <c r="N60" s="7"/>
      <c r="O60" s="7"/>
      <c r="P60" s="97"/>
      <c r="Q60" s="7"/>
      <c r="R60" s="7"/>
      <c r="T60" s="89" t="s">
        <v>38</v>
      </c>
      <c r="U60" s="53" t="s">
        <v>56</v>
      </c>
      <c r="V60" s="3" t="s">
        <v>4</v>
      </c>
      <c r="X60" s="48"/>
      <c r="Y60" s="50" t="s">
        <v>585</v>
      </c>
      <c r="Z60" s="48"/>
      <c r="AA60" s="50" t="s">
        <v>586</v>
      </c>
      <c r="AB60" s="48"/>
      <c r="AC60" s="50" t="s">
        <v>587</v>
      </c>
      <c r="AD60" s="24"/>
      <c r="AE60" s="96"/>
      <c r="AF60" s="111"/>
      <c r="AG60" s="112" t="str">
        <f>IF(AND(W55&lt;&gt;"",W65&lt;&gt;"",W55&lt;&gt;W65),IF(W55&gt;W65,T55,T65),"Match 27 Winner")</f>
        <v>Match 27 Winner</v>
      </c>
      <c r="AH60" s="113"/>
      <c r="AI60" s="111"/>
      <c r="AJ60" s="114">
        <f>IF(AL60="","",IF(AND(AL60=AL80,AL60&lt;&gt;"",AL80&lt;&gt;""),IF(AND(AN60=AN80,AN60&lt;&gt;"",AN80&lt;&gt;""),IF(AND(AP60=AP80,AP60&lt;&gt;"",AP80&lt;&gt;""),"",AL60+AN60+AP60),AL60+AN60),AL60))</f>
      </c>
      <c r="AK60" s="111"/>
      <c r="AL60" s="115"/>
      <c r="AM60" s="134"/>
      <c r="AN60" s="115"/>
      <c r="AO60" s="134"/>
      <c r="AP60" s="115"/>
      <c r="AQ60" s="96"/>
      <c r="AR60" s="96"/>
      <c r="AS60" s="48"/>
      <c r="AT60" s="48"/>
      <c r="AU60" s="48"/>
      <c r="AV60" s="50"/>
      <c r="AW60" s="48"/>
      <c r="AX60" s="48"/>
      <c r="AY60" s="50"/>
      <c r="AZ60" s="48"/>
      <c r="BA60" s="50"/>
      <c r="BB60" s="48"/>
      <c r="BC60" s="50"/>
      <c r="BD60" s="48"/>
      <c r="BE60" s="119"/>
      <c r="EE60" s="5"/>
      <c r="EF60" s="62" t="s">
        <v>466</v>
      </c>
    </row>
    <row r="61" spans="2:136" s="3" customFormat="1" ht="15" customHeight="1" thickBot="1">
      <c r="B61" s="6"/>
      <c r="C61" s="8">
        <v>6</v>
      </c>
      <c r="D61" s="65">
        <f>E61</f>
        <v>39608.864583333336</v>
      </c>
      <c r="E61" s="61">
        <f>Timezone!J7</f>
        <v>39608.864583333336</v>
      </c>
      <c r="F61" s="24"/>
      <c r="G61" s="8" t="str">
        <f>INDEX(Language!B$2:BI$80,SUMIF('Row and Column'!A$5:A$21,"Netherlands",'Row and Column'!B$5:B$21),SUMIF('Row and Column'!D$5:D$75,I$3,'Row and Column'!E$5:E$75))</f>
        <v>Netherlands</v>
      </c>
      <c r="H61" s="25"/>
      <c r="I61" s="15" t="s">
        <v>3</v>
      </c>
      <c r="J61" s="25"/>
      <c r="K61" s="7"/>
      <c r="L61" s="8" t="str">
        <f>INDEX(Language!B$2:BI$80,SUMIF('Row and Column'!A$5:A$21,"Italy",'Row and Column'!B$5:B$21),SUMIF('Row and Column'!D$5:D$75,I$3,'Row and Column'!E$5:E$75))</f>
        <v>Italy</v>
      </c>
      <c r="M61" s="9"/>
      <c r="N61" s="7"/>
      <c r="O61" s="7"/>
      <c r="P61" s="97"/>
      <c r="Q61" s="7"/>
      <c r="R61" s="7"/>
      <c r="T61" s="53" t="s">
        <v>0</v>
      </c>
      <c r="U61" s="53" t="s">
        <v>56</v>
      </c>
      <c r="V61" s="68">
        <f>V62</f>
        <v>39620.864583333336</v>
      </c>
      <c r="W61" s="48"/>
      <c r="AD61" s="24"/>
      <c r="AE61" s="97"/>
      <c r="AF61" s="48"/>
      <c r="AK61" s="48"/>
      <c r="AL61" s="48"/>
      <c r="AM61" s="48"/>
      <c r="AN61" s="48"/>
      <c r="AO61" s="48"/>
      <c r="AP61" s="53"/>
      <c r="AQ61" s="24"/>
      <c r="AR61" s="96"/>
      <c r="AS61" s="51"/>
      <c r="AT61" s="48"/>
      <c r="AU61" s="48"/>
      <c r="AV61" s="50"/>
      <c r="AW61" s="49"/>
      <c r="AX61" s="50"/>
      <c r="AY61" s="50"/>
      <c r="AZ61" s="50"/>
      <c r="BA61" s="50"/>
      <c r="BB61" s="50"/>
      <c r="BC61" s="50"/>
      <c r="BD61" s="48"/>
      <c r="BE61" s="119"/>
      <c r="EE61" s="5"/>
      <c r="EF61" s="62" t="s">
        <v>467</v>
      </c>
    </row>
    <row r="62" spans="2:136" s="3" customFormat="1" ht="15" customHeight="1" thickTop="1">
      <c r="B62" s="6"/>
      <c r="C62" s="7"/>
      <c r="D62" s="7"/>
      <c r="E62" s="7"/>
      <c r="F62" s="7"/>
      <c r="G62" s="7"/>
      <c r="H62" s="126"/>
      <c r="I62" s="7"/>
      <c r="J62" s="126"/>
      <c r="K62" s="7"/>
      <c r="L62" s="7"/>
      <c r="M62" s="9"/>
      <c r="N62" s="7"/>
      <c r="O62" s="7"/>
      <c r="P62" s="97"/>
      <c r="Q62" s="7"/>
      <c r="R62" s="7"/>
      <c r="T62" s="53" t="s">
        <v>1</v>
      </c>
      <c r="U62" s="53" t="s">
        <v>56</v>
      </c>
      <c r="V62" s="67">
        <f>Timezone!J28</f>
        <v>39620.864583333336</v>
      </c>
      <c r="AD62" s="24"/>
      <c r="AE62" s="97"/>
      <c r="AF62" s="48"/>
      <c r="AJ62" s="48"/>
      <c r="AK62" s="48"/>
      <c r="AL62" s="48"/>
      <c r="AM62" s="48"/>
      <c r="AN62" s="48"/>
      <c r="AO62" s="48"/>
      <c r="AP62" s="48"/>
      <c r="AQ62" s="24"/>
      <c r="AR62" s="96"/>
      <c r="AS62" s="48"/>
      <c r="AT62" s="48"/>
      <c r="AU62" s="48"/>
      <c r="AV62" s="48"/>
      <c r="AW62" s="50"/>
      <c r="AX62" s="54"/>
      <c r="AY62" s="48"/>
      <c r="AZ62" s="54"/>
      <c r="BA62" s="50"/>
      <c r="BB62" s="54"/>
      <c r="BC62" s="50"/>
      <c r="BD62" s="48"/>
      <c r="BE62" s="119"/>
      <c r="EE62" s="5"/>
      <c r="EF62" s="62" t="s">
        <v>468</v>
      </c>
    </row>
    <row r="63" spans="2:136" s="3" customFormat="1" ht="15" customHeight="1">
      <c r="B63" s="6"/>
      <c r="C63" s="8">
        <v>13</v>
      </c>
      <c r="D63" s="65">
        <f>E63</f>
        <v>39612.75</v>
      </c>
      <c r="E63" s="61">
        <f>Timezone!J14</f>
        <v>39612.75</v>
      </c>
      <c r="F63" s="24"/>
      <c r="G63" s="8" t="str">
        <f>INDEX(Language!B$2:BI$80,SUMIF('Row and Column'!A$5:A$21,"Italy",'Row and Column'!B$5:B$21),SUMIF('Row and Column'!D$5:D$75,I$3,'Row and Column'!E$5:E$75))</f>
        <v>Italy</v>
      </c>
      <c r="H63" s="25"/>
      <c r="I63" s="15" t="s">
        <v>3</v>
      </c>
      <c r="J63" s="25"/>
      <c r="K63" s="7"/>
      <c r="L63" s="8" t="str">
        <f>INDEX(Language!B$2:BI$80,SUMIF('Row and Column'!A$5:A$21,"Romania",'Row and Column'!B$5:B$21),SUMIF('Row and Column'!D$5:D$75,I$3,'Row and Column'!E$5:E$75))</f>
        <v>Romania</v>
      </c>
      <c r="M63" s="9"/>
      <c r="N63" s="7"/>
      <c r="O63" s="7"/>
      <c r="P63" s="97"/>
      <c r="Q63" s="7"/>
      <c r="R63" s="7"/>
      <c r="AD63" s="24"/>
      <c r="AE63" s="97"/>
      <c r="AF63" s="48"/>
      <c r="AG63" s="48"/>
      <c r="AH63" s="48"/>
      <c r="AI63" s="48"/>
      <c r="AJ63" s="48"/>
      <c r="AK63" s="48"/>
      <c r="AM63" s="48"/>
      <c r="AO63" s="48"/>
      <c r="AQ63" s="15"/>
      <c r="AR63" s="96"/>
      <c r="AS63" s="50"/>
      <c r="AT63" s="48"/>
      <c r="AU63" s="48"/>
      <c r="AV63" s="48"/>
      <c r="AX63" s="48"/>
      <c r="AY63" s="48"/>
      <c r="AZ63" s="48"/>
      <c r="BA63" s="48"/>
      <c r="BB63" s="48"/>
      <c r="BC63" s="50"/>
      <c r="BD63" s="48"/>
      <c r="BE63" s="119"/>
      <c r="EE63" s="5"/>
      <c r="EF63" s="62" t="s">
        <v>469</v>
      </c>
    </row>
    <row r="64" spans="2:136" s="3" customFormat="1" ht="15" customHeight="1" thickBot="1">
      <c r="B64" s="6"/>
      <c r="C64" s="8">
        <v>14</v>
      </c>
      <c r="D64" s="65">
        <f>E64</f>
        <v>39612.864583333336</v>
      </c>
      <c r="E64" s="61">
        <f>Timezone!J15</f>
        <v>39612.864583333336</v>
      </c>
      <c r="F64" s="24"/>
      <c r="G64" s="8" t="str">
        <f>INDEX(Language!B$2:BI$80,SUMIF('Row and Column'!A$5:A$21,"Netherlands",'Row and Column'!B$5:B$21),SUMIF('Row and Column'!D$5:D$75,I$3,'Row and Column'!E$5:E$75))</f>
        <v>Netherlands</v>
      </c>
      <c r="H64" s="25"/>
      <c r="I64" s="15" t="s">
        <v>3</v>
      </c>
      <c r="J64" s="25"/>
      <c r="K64" s="7"/>
      <c r="L64" s="8" t="str">
        <f>INDEX(Language!B$2:BI$80,SUMIF('Row and Column'!A$5:A$21,"France",'Row and Column'!B$5:B$21),SUMIF('Row and Column'!D$5:D$75,I$3,'Row and Column'!E$5:E$75))</f>
        <v>France</v>
      </c>
      <c r="M64" s="9"/>
      <c r="N64" s="7"/>
      <c r="O64" s="7"/>
      <c r="P64" s="97"/>
      <c r="Q64" s="7"/>
      <c r="R64" s="7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24"/>
      <c r="AE64" s="9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15"/>
      <c r="AR64" s="96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119"/>
      <c r="EE64" s="5"/>
      <c r="EF64" s="62" t="s">
        <v>470</v>
      </c>
    </row>
    <row r="65" spans="2:136" s="3" customFormat="1" ht="15" customHeight="1" thickBot="1">
      <c r="B65" s="6"/>
      <c r="C65" s="7"/>
      <c r="D65" s="7"/>
      <c r="E65" s="7"/>
      <c r="F65" s="7"/>
      <c r="G65" s="7"/>
      <c r="H65" s="126"/>
      <c r="I65" s="7"/>
      <c r="J65" s="126"/>
      <c r="K65" s="7"/>
      <c r="L65" s="7"/>
      <c r="M65" s="9"/>
      <c r="N65" s="7"/>
      <c r="O65" s="97"/>
      <c r="P65" s="108"/>
      <c r="Q65" s="97"/>
      <c r="R65" s="97"/>
      <c r="S65" s="105"/>
      <c r="T65" s="99" t="str">
        <f>IF(SUM(H72:H75)=12,G73,"Group D Runner Up")</f>
        <v>Group D Runner Up</v>
      </c>
      <c r="U65" s="99"/>
      <c r="V65" s="102"/>
      <c r="W65" s="103">
        <f>IF(Y65="","",IF(AND(Y55=Y65,Y55&lt;&gt;"",Y65&lt;&gt;""),IF(AND(AA55=AA65,AA55&lt;&gt;"",AA65&lt;&gt;""),IF(AND(AC55=AC65,AC55&lt;&gt;"",AC65&lt;&gt;""),"",Y65+AA65+AC65),Y65+AA65),Y65))</f>
      </c>
      <c r="X65" s="101"/>
      <c r="Y65" s="104"/>
      <c r="Z65" s="130"/>
      <c r="AA65" s="104"/>
      <c r="AB65" s="130"/>
      <c r="AC65" s="104"/>
      <c r="AD65" s="97"/>
      <c r="AE65" s="98"/>
      <c r="AQ65" s="15"/>
      <c r="AR65" s="96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119"/>
      <c r="EE65" s="5"/>
      <c r="EF65" s="62" t="s">
        <v>471</v>
      </c>
    </row>
    <row r="66" spans="2:136" s="3" customFormat="1" ht="15" customHeight="1">
      <c r="B66" s="6"/>
      <c r="C66" s="8">
        <v>21</v>
      </c>
      <c r="D66" s="65">
        <f>E66</f>
        <v>39616.864583333336</v>
      </c>
      <c r="E66" s="61">
        <f>Timezone!J22</f>
        <v>39616.864583333336</v>
      </c>
      <c r="F66" s="24"/>
      <c r="G66" s="8" t="str">
        <f>INDEX(Language!B$2:BI$80,SUMIF('Row and Column'!A$5:A$21,"Netherlands",'Row and Column'!B$5:B$21),SUMIF('Row and Column'!D$5:D$75,I$3,'Row and Column'!E$5:E$75))</f>
        <v>Netherlands</v>
      </c>
      <c r="H66" s="25"/>
      <c r="I66" s="15" t="s">
        <v>3</v>
      </c>
      <c r="J66" s="25"/>
      <c r="K66" s="7"/>
      <c r="L66" s="8" t="str">
        <f>INDEX(Language!B$2:BI$80,SUMIF('Row and Column'!A$5:A$21,"Romania",'Row and Column'!B$5:B$21),SUMIF('Row and Column'!D$5:D$75,I$3,'Row and Column'!E$5:E$75))</f>
        <v>Romania</v>
      </c>
      <c r="M66" s="9"/>
      <c r="N66" s="7"/>
      <c r="O66" s="97"/>
      <c r="P66" s="108"/>
      <c r="Q66" s="7"/>
      <c r="R66" s="7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24"/>
      <c r="AE66" s="15"/>
      <c r="AF66" s="48"/>
      <c r="AG66" s="48"/>
      <c r="AH66" s="48"/>
      <c r="AI66" s="50"/>
      <c r="AJ66" s="48"/>
      <c r="AK66" s="48"/>
      <c r="AL66" s="48"/>
      <c r="AM66" s="48"/>
      <c r="AN66" s="48"/>
      <c r="AO66" s="48"/>
      <c r="AP66" s="48"/>
      <c r="AQ66" s="15"/>
      <c r="AR66" s="96"/>
      <c r="AS66" s="48"/>
      <c r="AT66" s="48"/>
      <c r="AU66" s="48"/>
      <c r="AV66" s="48"/>
      <c r="AX66" s="48"/>
      <c r="AY66" s="48"/>
      <c r="AZ66" s="48"/>
      <c r="BA66" s="48"/>
      <c r="BB66" s="48"/>
      <c r="BC66" s="48"/>
      <c r="BD66" s="48"/>
      <c r="BE66" s="119"/>
      <c r="EE66" s="5"/>
      <c r="EF66" s="62" t="s">
        <v>472</v>
      </c>
    </row>
    <row r="67" spans="2:136" s="3" customFormat="1" ht="15" customHeight="1">
      <c r="B67" s="6"/>
      <c r="C67" s="8">
        <v>22</v>
      </c>
      <c r="D67" s="65">
        <f>E67</f>
        <v>39616.864583333336</v>
      </c>
      <c r="E67" s="61">
        <f>Timezone!J23</f>
        <v>39616.864583333336</v>
      </c>
      <c r="F67" s="23"/>
      <c r="G67" s="8" t="str">
        <f>INDEX(Language!B$2:BI$80,SUMIF('Row and Column'!A$5:A$21,"France",'Row and Column'!B$5:B$21),SUMIF('Row and Column'!D$5:D$75,I$3,'Row and Column'!E$5:E$75))</f>
        <v>France</v>
      </c>
      <c r="H67" s="25"/>
      <c r="I67" s="15" t="s">
        <v>3</v>
      </c>
      <c r="J67" s="25"/>
      <c r="K67" s="7"/>
      <c r="L67" s="8" t="str">
        <f>INDEX(Language!B$2:BI$80,SUMIF('Row and Column'!A$5:A$21,"Italy",'Row and Column'!B$5:B$21),SUMIF('Row and Column'!D$5:D$75,I$3,'Row and Column'!E$5:E$75))</f>
        <v>Italy</v>
      </c>
      <c r="M67" s="9"/>
      <c r="N67" s="7"/>
      <c r="O67" s="97"/>
      <c r="P67" s="108"/>
      <c r="Q67" s="7"/>
      <c r="R67" s="7"/>
      <c r="S67" s="48"/>
      <c r="AD67" s="24"/>
      <c r="AE67" s="15"/>
      <c r="AQ67" s="15"/>
      <c r="AR67" s="96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119"/>
      <c r="EE67" s="5"/>
      <c r="EF67" s="62" t="s">
        <v>473</v>
      </c>
    </row>
    <row r="68" spans="2:136" s="3" customFormat="1" ht="15" customHeight="1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7"/>
      <c r="O68" s="97"/>
      <c r="P68" s="108"/>
      <c r="Q68" s="7"/>
      <c r="R68" s="7"/>
      <c r="S68" s="48"/>
      <c r="W68" s="50"/>
      <c r="X68" s="48"/>
      <c r="Y68" s="48"/>
      <c r="Z68" s="48"/>
      <c r="AA68" s="48"/>
      <c r="AB68" s="48"/>
      <c r="AD68" s="24"/>
      <c r="AE68" s="15"/>
      <c r="AF68" s="48"/>
      <c r="AG68" s="53" t="s">
        <v>592</v>
      </c>
      <c r="AH68" s="53"/>
      <c r="AI68" s="48"/>
      <c r="AJ68" s="48"/>
      <c r="AK68" s="48"/>
      <c r="AL68" s="48"/>
      <c r="AM68" s="48"/>
      <c r="AN68" s="48"/>
      <c r="AO68" s="48"/>
      <c r="AP68" s="50"/>
      <c r="AQ68" s="15"/>
      <c r="AR68" s="96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117"/>
      <c r="EE68" s="5"/>
      <c r="EF68" s="62" t="s">
        <v>474</v>
      </c>
    </row>
    <row r="69" spans="13:136" s="3" customFormat="1" ht="15" customHeight="1" thickBot="1">
      <c r="M69" s="7"/>
      <c r="N69" s="7"/>
      <c r="O69" s="97"/>
      <c r="P69" s="108"/>
      <c r="Q69" s="7"/>
      <c r="R69" s="7"/>
      <c r="S69" s="48"/>
      <c r="W69" s="50"/>
      <c r="X69" s="48"/>
      <c r="Y69" s="48"/>
      <c r="Z69" s="48"/>
      <c r="AA69" s="48"/>
      <c r="AB69" s="48"/>
      <c r="AC69" s="53"/>
      <c r="AD69" s="24"/>
      <c r="AE69" s="15"/>
      <c r="AF69" s="48"/>
      <c r="AG69" s="53" t="s">
        <v>599</v>
      </c>
      <c r="AH69" s="53" t="s">
        <v>56</v>
      </c>
      <c r="AI69" s="24" t="s">
        <v>600</v>
      </c>
      <c r="AJ69" s="48"/>
      <c r="AK69" s="48"/>
      <c r="AL69" s="48"/>
      <c r="AM69" s="48"/>
      <c r="AN69" s="48"/>
      <c r="AO69" s="48"/>
      <c r="AP69" s="50"/>
      <c r="AQ69" s="15"/>
      <c r="AR69" s="96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117"/>
      <c r="EE69" s="5"/>
      <c r="EF69" s="62" t="s">
        <v>475</v>
      </c>
    </row>
    <row r="70" spans="2:136" s="3" customFormat="1" ht="15" customHeight="1" thickBot="1">
      <c r="B70" s="73"/>
      <c r="C70" s="74" t="s">
        <v>595</v>
      </c>
      <c r="D70" s="75"/>
      <c r="E70" s="76" t="s">
        <v>594</v>
      </c>
      <c r="F70" s="11"/>
      <c r="G70" s="82" t="s">
        <v>38</v>
      </c>
      <c r="H70" s="76" t="s">
        <v>416</v>
      </c>
      <c r="I70" s="76" t="s">
        <v>21</v>
      </c>
      <c r="J70" s="76" t="s">
        <v>22</v>
      </c>
      <c r="K70" s="76" t="s">
        <v>23</v>
      </c>
      <c r="L70" s="76" t="s">
        <v>24</v>
      </c>
      <c r="M70" s="77" t="s">
        <v>417</v>
      </c>
      <c r="N70" s="7"/>
      <c r="O70" s="97"/>
      <c r="P70" s="108"/>
      <c r="Q70" s="7"/>
      <c r="R70" s="7"/>
      <c r="S70" s="48"/>
      <c r="X70" s="48"/>
      <c r="Y70" s="48"/>
      <c r="Z70" s="48"/>
      <c r="AA70" s="48"/>
      <c r="AB70" s="48"/>
      <c r="AC70" s="53"/>
      <c r="AD70" s="24"/>
      <c r="AE70" s="15"/>
      <c r="AF70" s="48"/>
      <c r="AG70" s="89" t="s">
        <v>38</v>
      </c>
      <c r="AH70" s="89" t="s">
        <v>56</v>
      </c>
      <c r="AI70" s="3" t="s">
        <v>6</v>
      </c>
      <c r="AJ70" s="48"/>
      <c r="AK70" s="48"/>
      <c r="AL70" s="50" t="s">
        <v>585</v>
      </c>
      <c r="AM70" s="48"/>
      <c r="AN70" s="50" t="s">
        <v>586</v>
      </c>
      <c r="AO70" s="48"/>
      <c r="AP70" s="50" t="s">
        <v>587</v>
      </c>
      <c r="AQ70" s="15"/>
      <c r="AR70" s="96"/>
      <c r="AS70" s="111"/>
      <c r="AT70" s="112" t="str">
        <f>IF(AND(AJ60&lt;&gt;"",AJ80&lt;&gt;"",AJ60&lt;&gt;AJ80),IF(AJ60&gt;AJ80,AG60,AG80),"Match 30 Winner")</f>
        <v>Match 30 Winner</v>
      </c>
      <c r="AU70" s="113"/>
      <c r="AV70" s="116"/>
      <c r="AW70" s="114">
        <f>IF(AY70="","",IF(AND(AY30=AY70,AY30&lt;&gt;"",AY70&lt;&gt;""),IF(AND(BA30=BA70,BA30&lt;&gt;"",BA70&lt;&gt;""),IF(AND(BC30=BC70,BC30&lt;&gt;"",BC70&lt;&gt;""),"",AY70+BA70+BC70),AY70+BA70),AY70))</f>
      </c>
      <c r="AX70" s="111"/>
      <c r="AY70" s="115"/>
      <c r="AZ70" s="134"/>
      <c r="BA70" s="115"/>
      <c r="BB70" s="134"/>
      <c r="BC70" s="115"/>
      <c r="BD70" s="111"/>
      <c r="BE70" s="117"/>
      <c r="EE70" s="5"/>
      <c r="EF70" s="62" t="s">
        <v>476</v>
      </c>
    </row>
    <row r="71" spans="2:136" s="3" customFormat="1" ht="15" customHeight="1">
      <c r="B71" s="10"/>
      <c r="C71" s="11"/>
      <c r="D71" s="12"/>
      <c r="E71" s="7"/>
      <c r="F71" s="7"/>
      <c r="G71" s="7"/>
      <c r="H71" s="7"/>
      <c r="I71" s="7"/>
      <c r="J71" s="7"/>
      <c r="K71" s="7"/>
      <c r="L71" s="7"/>
      <c r="M71" s="9"/>
      <c r="N71" s="7"/>
      <c r="O71" s="97"/>
      <c r="P71" s="108"/>
      <c r="Q71" s="7"/>
      <c r="R71" s="7"/>
      <c r="S71" s="48"/>
      <c r="W71" s="48"/>
      <c r="X71" s="48"/>
      <c r="Y71" s="48"/>
      <c r="Z71" s="48"/>
      <c r="AA71" s="48"/>
      <c r="AB71" s="48"/>
      <c r="AC71" s="48"/>
      <c r="AD71" s="24"/>
      <c r="AE71" s="15"/>
      <c r="AF71" s="48"/>
      <c r="AG71" s="53" t="s">
        <v>0</v>
      </c>
      <c r="AH71" s="53" t="s">
        <v>56</v>
      </c>
      <c r="AI71" s="68">
        <f>AI72</f>
        <v>39625.864583333336</v>
      </c>
      <c r="AJ71" s="48"/>
      <c r="AK71" s="48"/>
      <c r="AL71" s="48"/>
      <c r="AM71" s="48"/>
      <c r="AN71" s="48"/>
      <c r="AO71" s="48"/>
      <c r="AP71" s="50"/>
      <c r="AQ71" s="15"/>
      <c r="AR71" s="96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E71" s="58"/>
      <c r="EE71" s="5"/>
      <c r="EF71" s="62" t="s">
        <v>477</v>
      </c>
    </row>
    <row r="72" spans="2:136" s="3" customFormat="1" ht="15" customHeight="1">
      <c r="B72" s="6"/>
      <c r="C72" s="7"/>
      <c r="D72" s="9"/>
      <c r="E72" s="90">
        <v>1</v>
      </c>
      <c r="F72" s="87"/>
      <c r="G72" s="85" t="str">
        <f>VLOOKUP(1,'Dummy Table'!O25:P28,2,FALSE)</f>
        <v>Sweden</v>
      </c>
      <c r="H72" s="90">
        <f>SUM(I72:K72)</f>
        <v>0</v>
      </c>
      <c r="I72" s="90">
        <f>SUMIF('Dummy Table'!B$25:B$28,'Euro 2008 Schedule'!G72,'Dummy Table'!C$25:C$28)</f>
        <v>0</v>
      </c>
      <c r="J72" s="90">
        <f>SUMIF('Dummy Table'!B$25:B$28,'Euro 2008 Schedule'!G72,'Dummy Table'!D$25:D$28)</f>
        <v>0</v>
      </c>
      <c r="K72" s="90">
        <f>SUMIF('Dummy Table'!B$25:B$28,'Euro 2008 Schedule'!G72,'Dummy Table'!E$25:E$28)</f>
        <v>0</v>
      </c>
      <c r="L72" s="90" t="str">
        <f>CONCATENATE(SUMIF('Dummy Table'!B$25:B$28,'Euro 2008 Schedule'!G72,'Dummy Table'!F$25:F$28)," - ",SUMIF('Dummy Table'!B$25:B$28,'Euro 2008 Schedule'!G72,'Dummy Table'!G$25:G$28))</f>
        <v>0 - 0</v>
      </c>
      <c r="M72" s="91">
        <f>SUMIF('Dummy Table'!B$25:B$28,'Euro 2008 Schedule'!G72,'Dummy Table'!I$25:I$28)</f>
        <v>0</v>
      </c>
      <c r="N72" s="87"/>
      <c r="O72" s="87"/>
      <c r="P72" s="87"/>
      <c r="Q72" s="87"/>
      <c r="R72" s="24"/>
      <c r="S72" s="48"/>
      <c r="AD72" s="24"/>
      <c r="AE72" s="15"/>
      <c r="AF72" s="48"/>
      <c r="AG72" s="53" t="s">
        <v>1</v>
      </c>
      <c r="AH72" s="53" t="s">
        <v>56</v>
      </c>
      <c r="AI72" s="67">
        <f>Timezone!J31</f>
        <v>39625.864583333336</v>
      </c>
      <c r="AJ72" s="48"/>
      <c r="AK72" s="48"/>
      <c r="AL72" s="48"/>
      <c r="AM72" s="48"/>
      <c r="AN72" s="48"/>
      <c r="AO72" s="48"/>
      <c r="AP72" s="50"/>
      <c r="AQ72" s="15"/>
      <c r="AR72" s="96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EE72" s="5"/>
      <c r="EF72" s="62" t="s">
        <v>478</v>
      </c>
    </row>
    <row r="73" spans="2:136" s="3" customFormat="1" ht="15" customHeight="1">
      <c r="B73" s="6"/>
      <c r="C73" s="7"/>
      <c r="D73" s="9"/>
      <c r="E73" s="98">
        <v>2</v>
      </c>
      <c r="F73" s="97"/>
      <c r="G73" s="99" t="str">
        <f>VLOOKUP(2,'Dummy Table'!O25:P28,2,FALSE)</f>
        <v>Spain</v>
      </c>
      <c r="H73" s="98">
        <f>SUM(I73:K73)</f>
        <v>0</v>
      </c>
      <c r="I73" s="98">
        <f>SUMIF('Dummy Table'!B$25:B$28,'Euro 2008 Schedule'!G73,'Dummy Table'!C$25:C$28)</f>
        <v>0</v>
      </c>
      <c r="J73" s="98">
        <f>SUMIF('Dummy Table'!B$25:B$28,'Euro 2008 Schedule'!G73,'Dummy Table'!D$25:D$28)</f>
        <v>0</v>
      </c>
      <c r="K73" s="98">
        <f>SUMIF('Dummy Table'!B$25:B$28,'Euro 2008 Schedule'!G73,'Dummy Table'!E$25:E$28)</f>
        <v>0</v>
      </c>
      <c r="L73" s="98" t="str">
        <f>CONCATENATE(SUMIF('Dummy Table'!B$25:B$28,'Euro 2008 Schedule'!G73,'Dummy Table'!F$25:F$28)," - ",SUMIF('Dummy Table'!B$25:B$28,'Euro 2008 Schedule'!G73,'Dummy Table'!G$25:G$28))</f>
        <v>0 - 0</v>
      </c>
      <c r="M73" s="100">
        <f>SUMIF('Dummy Table'!B$25:B$28,'Euro 2008 Schedule'!G73,'Dummy Table'!I$25:I$28)</f>
        <v>0</v>
      </c>
      <c r="N73" s="97"/>
      <c r="O73" s="97"/>
      <c r="P73" s="107"/>
      <c r="Q73" s="87"/>
      <c r="R73" s="7"/>
      <c r="S73" s="48"/>
      <c r="T73" s="48"/>
      <c r="U73" s="48"/>
      <c r="V73" s="48"/>
      <c r="W73" s="48"/>
      <c r="X73" s="48"/>
      <c r="Z73" s="48"/>
      <c r="AB73" s="48"/>
      <c r="AD73" s="24"/>
      <c r="AE73" s="15"/>
      <c r="AF73" s="48"/>
      <c r="AJ73" s="48"/>
      <c r="AK73" s="48"/>
      <c r="AL73" s="48"/>
      <c r="AM73" s="48"/>
      <c r="AN73" s="48"/>
      <c r="AO73" s="48"/>
      <c r="AP73" s="50"/>
      <c r="AQ73" s="15"/>
      <c r="AR73" s="96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EE73" s="5"/>
      <c r="EF73" s="62" t="s">
        <v>479</v>
      </c>
    </row>
    <row r="74" spans="2:136" s="3" customFormat="1" ht="15" customHeight="1" thickBot="1">
      <c r="B74" s="6"/>
      <c r="C74" s="7"/>
      <c r="D74" s="9"/>
      <c r="E74" s="8">
        <v>3</v>
      </c>
      <c r="F74" s="7"/>
      <c r="G74" s="66" t="str">
        <f>VLOOKUP(3,'Dummy Table'!O25:P28,2,FALSE)</f>
        <v>Greece</v>
      </c>
      <c r="H74" s="8">
        <f>SUM(I74:K74)</f>
        <v>0</v>
      </c>
      <c r="I74" s="8">
        <f>SUMIF('Dummy Table'!B$25:B$28,'Euro 2008 Schedule'!G74,'Dummy Table'!C$25:C$28)</f>
        <v>0</v>
      </c>
      <c r="J74" s="8">
        <f>SUMIF('Dummy Table'!B$25:B$28,'Euro 2008 Schedule'!G74,'Dummy Table'!D$25:D$28)</f>
        <v>0</v>
      </c>
      <c r="K74" s="8">
        <f>SUMIF('Dummy Table'!B$25:B$28,'Euro 2008 Schedule'!G74,'Dummy Table'!E$25:E$28)</f>
        <v>0</v>
      </c>
      <c r="L74" s="8" t="str">
        <f>CONCATENATE(SUMIF('Dummy Table'!B$25:B$28,'Euro 2008 Schedule'!G74,'Dummy Table'!F$25:F$28)," - ",SUMIF('Dummy Table'!B$25:B$28,'Euro 2008 Schedule'!G74,'Dummy Table'!G$25:G$28))</f>
        <v>0 - 0</v>
      </c>
      <c r="M74" s="16">
        <f>SUMIF('Dummy Table'!B$25:B$28,'Euro 2008 Schedule'!G74,'Dummy Table'!I$25:I$28)</f>
        <v>0</v>
      </c>
      <c r="N74" s="7"/>
      <c r="O74" s="7"/>
      <c r="P74" s="97"/>
      <c r="Q74" s="87"/>
      <c r="R74" s="7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24"/>
      <c r="AE74" s="15"/>
      <c r="AF74" s="48"/>
      <c r="AG74" s="53"/>
      <c r="AH74" s="53"/>
      <c r="AI74" s="49"/>
      <c r="AJ74" s="48"/>
      <c r="AK74" s="48"/>
      <c r="AL74" s="48"/>
      <c r="AM74" s="48"/>
      <c r="AN74" s="48"/>
      <c r="AO74" s="48"/>
      <c r="AP74" s="50"/>
      <c r="AQ74" s="15"/>
      <c r="AR74" s="96"/>
      <c r="AS74" s="48"/>
      <c r="AT74" s="47"/>
      <c r="AU74" s="47"/>
      <c r="AV74" s="47"/>
      <c r="AW74" s="47"/>
      <c r="AX74" s="47"/>
      <c r="AY74" s="47"/>
      <c r="AZ74" s="47"/>
      <c r="BA74" s="47"/>
      <c r="BB74" s="47"/>
      <c r="BC74" s="48"/>
      <c r="EE74" s="5"/>
      <c r="EF74" s="62" t="s">
        <v>480</v>
      </c>
    </row>
    <row r="75" spans="2:136" s="3" customFormat="1" ht="15" customHeight="1" thickBot="1">
      <c r="B75" s="20"/>
      <c r="C75" s="21"/>
      <c r="D75" s="22"/>
      <c r="E75" s="8">
        <v>4</v>
      </c>
      <c r="F75" s="7"/>
      <c r="G75" s="66" t="str">
        <f>VLOOKUP(4,'Dummy Table'!O25:P28,2,FALSE)</f>
        <v>Russia</v>
      </c>
      <c r="H75" s="8">
        <f>SUM(I75:K75)</f>
        <v>0</v>
      </c>
      <c r="I75" s="8">
        <f>SUMIF('Dummy Table'!B$25:B$28,'Euro 2008 Schedule'!G75,'Dummy Table'!C$25:C$28)</f>
        <v>0</v>
      </c>
      <c r="J75" s="8">
        <f>SUMIF('Dummy Table'!B$25:B$28,'Euro 2008 Schedule'!G75,'Dummy Table'!D$25:D$28)</f>
        <v>0</v>
      </c>
      <c r="K75" s="8">
        <f>SUMIF('Dummy Table'!B$25:B$28,'Euro 2008 Schedule'!G75,'Dummy Table'!E$25:E$28)</f>
        <v>0</v>
      </c>
      <c r="L75" s="8" t="str">
        <f>CONCATENATE(SUMIF('Dummy Table'!B$25:B$28,'Euro 2008 Schedule'!G75,'Dummy Table'!F$25:F$28)," - ",SUMIF('Dummy Table'!B$25:B$28,'Euro 2008 Schedule'!G75,'Dummy Table'!G$25:G$28))</f>
        <v>0 - 0</v>
      </c>
      <c r="M75" s="16">
        <f>SUMIF('Dummy Table'!B$25:B$28,'Euro 2008 Schedule'!G75,'Dummy Table'!I$25:I$28)</f>
        <v>0</v>
      </c>
      <c r="N75" s="7"/>
      <c r="O75" s="7"/>
      <c r="P75" s="97"/>
      <c r="Q75" s="87"/>
      <c r="R75" s="87"/>
      <c r="S75" s="84"/>
      <c r="T75" s="85" t="str">
        <f>IF(SUM(H72:H75)=12,G72,"Group D Winner")</f>
        <v>Group D Winner</v>
      </c>
      <c r="U75" s="85"/>
      <c r="V75" s="84"/>
      <c r="W75" s="95">
        <f>IF(Y75="","",IF(AND(Y75=Y85,Y75&lt;&gt;"",Y85&lt;&gt;""),IF(AND(AA75=AA85,AA75&lt;&gt;"",AA85&lt;&gt;""),IF(AND(AC75=AC85,AC75&lt;&gt;"",AC85&lt;&gt;""),"",Y75+AA75+AC75),Y75+AA75),Y75))</f>
      </c>
      <c r="X75" s="88"/>
      <c r="Y75" s="86"/>
      <c r="Z75" s="132"/>
      <c r="AA75" s="86"/>
      <c r="AB75" s="132"/>
      <c r="AC75" s="86"/>
      <c r="AD75" s="87"/>
      <c r="AE75" s="90"/>
      <c r="AF75" s="48"/>
      <c r="AG75" s="53"/>
      <c r="AH75" s="53"/>
      <c r="AI75" s="49"/>
      <c r="AJ75" s="48"/>
      <c r="AK75" s="48"/>
      <c r="AL75" s="48"/>
      <c r="AM75" s="48"/>
      <c r="AN75" s="48"/>
      <c r="AO75" s="48"/>
      <c r="AP75" s="50"/>
      <c r="AQ75" s="15"/>
      <c r="AR75" s="96"/>
      <c r="AS75" s="48"/>
      <c r="AT75" s="47"/>
      <c r="AU75" s="47"/>
      <c r="AV75" s="47"/>
      <c r="AW75" s="47"/>
      <c r="AX75" s="47"/>
      <c r="AY75" s="47"/>
      <c r="AZ75" s="47"/>
      <c r="BA75" s="47"/>
      <c r="BB75" s="47"/>
      <c r="BC75" s="48"/>
      <c r="EE75" s="5"/>
      <c r="EF75" s="62" t="s">
        <v>481</v>
      </c>
    </row>
    <row r="76" spans="2:136" s="3" customFormat="1" ht="15" customHeight="1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9"/>
      <c r="N76" s="7"/>
      <c r="O76" s="7"/>
      <c r="P76" s="97"/>
      <c r="Q76" s="7"/>
      <c r="R76" s="7"/>
      <c r="S76" s="48"/>
      <c r="AD76" s="24"/>
      <c r="AE76" s="90"/>
      <c r="AF76" s="48"/>
      <c r="AG76" s="53"/>
      <c r="AH76" s="53"/>
      <c r="AI76" s="49"/>
      <c r="AJ76" s="48"/>
      <c r="AK76" s="48"/>
      <c r="AL76" s="48"/>
      <c r="AM76" s="48"/>
      <c r="AN76" s="48"/>
      <c r="AO76" s="48"/>
      <c r="AP76" s="50"/>
      <c r="AQ76" s="15"/>
      <c r="AR76" s="96"/>
      <c r="AS76" s="48"/>
      <c r="EE76" s="5"/>
      <c r="EF76" s="62" t="s">
        <v>482</v>
      </c>
    </row>
    <row r="77" spans="2:136" s="3" customFormat="1" ht="15" customHeight="1">
      <c r="B77" s="79"/>
      <c r="C77" s="80" t="s">
        <v>30</v>
      </c>
      <c r="D77" s="80" t="s">
        <v>0</v>
      </c>
      <c r="E77" s="80" t="s">
        <v>1</v>
      </c>
      <c r="F77" s="71"/>
      <c r="G77" s="80" t="s">
        <v>38</v>
      </c>
      <c r="H77" s="142" t="s">
        <v>2</v>
      </c>
      <c r="I77" s="142"/>
      <c r="J77" s="142"/>
      <c r="K77" s="72"/>
      <c r="L77" s="80" t="s">
        <v>38</v>
      </c>
      <c r="M77" s="81"/>
      <c r="N77" s="7"/>
      <c r="P77" s="105"/>
      <c r="S77" s="48"/>
      <c r="AD77" s="24"/>
      <c r="AE77" s="90"/>
      <c r="AF77" s="48"/>
      <c r="AG77" s="53"/>
      <c r="AH77" s="53"/>
      <c r="AI77" s="49"/>
      <c r="AJ77" s="48"/>
      <c r="AK77" s="48"/>
      <c r="AL77" s="48"/>
      <c r="AM77" s="48"/>
      <c r="AN77" s="48"/>
      <c r="AO77" s="48"/>
      <c r="AP77" s="50"/>
      <c r="AQ77" s="15"/>
      <c r="AR77" s="96"/>
      <c r="AS77" s="48"/>
      <c r="EE77" s="5"/>
      <c r="EF77" s="62" t="s">
        <v>483</v>
      </c>
    </row>
    <row r="78" spans="2:136" s="3" customFormat="1" ht="15" customHeight="1"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9"/>
      <c r="N78" s="7"/>
      <c r="P78" s="105"/>
      <c r="S78" s="48"/>
      <c r="T78" s="53" t="s">
        <v>593</v>
      </c>
      <c r="U78" s="53"/>
      <c r="V78" s="48"/>
      <c r="AD78" s="24"/>
      <c r="AE78" s="90"/>
      <c r="AF78" s="48"/>
      <c r="AG78" s="53"/>
      <c r="AH78" s="53"/>
      <c r="AI78" s="49"/>
      <c r="AJ78" s="48"/>
      <c r="AK78" s="48"/>
      <c r="AL78" s="48"/>
      <c r="AM78" s="48"/>
      <c r="AN78" s="48"/>
      <c r="AO78" s="48"/>
      <c r="AP78" s="50"/>
      <c r="AQ78" s="15"/>
      <c r="AR78" s="96"/>
      <c r="AS78" s="48"/>
      <c r="EE78" s="5"/>
      <c r="EF78" s="62" t="s">
        <v>484</v>
      </c>
    </row>
    <row r="79" spans="2:136" s="3" customFormat="1" ht="15" customHeight="1" thickBot="1">
      <c r="B79" s="6"/>
      <c r="C79" s="8">
        <v>7</v>
      </c>
      <c r="D79" s="65">
        <f>E79</f>
        <v>39609.75</v>
      </c>
      <c r="E79" s="61">
        <f>Timezone!J8</f>
        <v>39609.75</v>
      </c>
      <c r="F79" s="24"/>
      <c r="G79" s="8" t="str">
        <f>INDEX(Language!B$2:BI$80,SUMIF('Row and Column'!A$5:A$21,"Spain",'Row and Column'!B$5:B$21),SUMIF('Row and Column'!D$5:D$75,I$3,'Row and Column'!E$5:E$75))</f>
        <v>Spain</v>
      </c>
      <c r="H79" s="25"/>
      <c r="I79" s="15" t="s">
        <v>3</v>
      </c>
      <c r="J79" s="25"/>
      <c r="K79" s="7"/>
      <c r="L79" s="8" t="str">
        <f>INDEX(Language!B$2:BI$80,SUMIF('Row and Column'!A$5:A$21,"Russia",'Row and Column'!B$5:B$21),SUMIF('Row and Column'!D$5:D$75,I$3,'Row and Column'!E$5:E$75))</f>
        <v>Russia</v>
      </c>
      <c r="M79" s="9"/>
      <c r="N79" s="7"/>
      <c r="P79" s="105"/>
      <c r="S79" s="48"/>
      <c r="T79" s="53" t="s">
        <v>599</v>
      </c>
      <c r="U79" s="53" t="s">
        <v>56</v>
      </c>
      <c r="V79" s="24" t="s">
        <v>600</v>
      </c>
      <c r="AD79" s="24"/>
      <c r="AE79" s="90"/>
      <c r="AF79" s="48"/>
      <c r="AG79" s="53"/>
      <c r="AH79" s="53"/>
      <c r="AI79" s="49"/>
      <c r="AJ79" s="48"/>
      <c r="AK79" s="48"/>
      <c r="AL79" s="48"/>
      <c r="AM79" s="48"/>
      <c r="AN79" s="48"/>
      <c r="AO79" s="48"/>
      <c r="AP79" s="50"/>
      <c r="AQ79" s="15"/>
      <c r="AR79" s="96"/>
      <c r="AS79" s="48"/>
      <c r="EE79" s="5"/>
      <c r="EF79" s="62" t="s">
        <v>485</v>
      </c>
    </row>
    <row r="80" spans="2:136" s="3" customFormat="1" ht="15" customHeight="1" thickBot="1">
      <c r="B80" s="6"/>
      <c r="C80" s="8">
        <v>8</v>
      </c>
      <c r="D80" s="65">
        <f>E80</f>
        <v>39609.864583333336</v>
      </c>
      <c r="E80" s="61">
        <f>Timezone!J9</f>
        <v>39609.864583333336</v>
      </c>
      <c r="F80" s="24"/>
      <c r="G80" s="8" t="str">
        <f>INDEX(Language!B$2:BI$80,SUMIF('Row and Column'!A$5:A$21,"Greece",'Row and Column'!B$5:B$21),SUMIF('Row and Column'!D$5:D$75,I$3,'Row and Column'!E$5:E$75))</f>
        <v>Greece</v>
      </c>
      <c r="H80" s="25"/>
      <c r="I80" s="15" t="s">
        <v>3</v>
      </c>
      <c r="J80" s="25"/>
      <c r="K80" s="7"/>
      <c r="L80" s="8" t="str">
        <f>INDEX(Language!B$2:BI$80,SUMIF('Row and Column'!A$5:A$21,"Sweden",'Row and Column'!B$5:B$21),SUMIF('Row and Column'!D$5:D$75,I$3,'Row and Column'!E$5:E$75))</f>
        <v>Sweden</v>
      </c>
      <c r="M80" s="9"/>
      <c r="N80" s="7"/>
      <c r="P80" s="105"/>
      <c r="S80" s="48"/>
      <c r="T80" s="89" t="s">
        <v>38</v>
      </c>
      <c r="U80" s="89" t="s">
        <v>56</v>
      </c>
      <c r="V80" s="3" t="s">
        <v>6</v>
      </c>
      <c r="Y80" s="50" t="s">
        <v>585</v>
      </c>
      <c r="AA80" s="50" t="s">
        <v>586</v>
      </c>
      <c r="AC80" s="50" t="s">
        <v>587</v>
      </c>
      <c r="AD80" s="24"/>
      <c r="AE80" s="113"/>
      <c r="AF80" s="111"/>
      <c r="AG80" s="112" t="str">
        <f>IF(AND(W75&lt;&gt;"",W85&lt;&gt;"",W75&lt;&gt;W85),IF(W75&gt;W85,T75,T85),"Match 28 Winner")</f>
        <v>Match 28 Winner</v>
      </c>
      <c r="AH80" s="113"/>
      <c r="AI80" s="116"/>
      <c r="AJ80" s="114">
        <f>IF(AL80="","",IF(AND(AL60=AL80,AL60&lt;&gt;"",AL80&lt;&gt;""),IF(AND(AN60=AN80,AN60&lt;&gt;"",AN80&lt;&gt;""),IF(AND(AP60=AP80,AP60&lt;&gt;"",AP80&lt;&gt;""),"",AL80+AN80+AP80),AL80+AN80),AL80))</f>
      </c>
      <c r="AK80" s="111"/>
      <c r="AL80" s="115"/>
      <c r="AM80" s="134"/>
      <c r="AN80" s="115"/>
      <c r="AO80" s="134"/>
      <c r="AP80" s="115"/>
      <c r="AQ80" s="113"/>
      <c r="AR80" s="96"/>
      <c r="AS80" s="48"/>
      <c r="EE80" s="5"/>
      <c r="EF80" s="62" t="s">
        <v>486</v>
      </c>
    </row>
    <row r="81" spans="2:136" s="3" customFormat="1" ht="15" customHeight="1">
      <c r="B81" s="6"/>
      <c r="C81" s="7"/>
      <c r="D81" s="7"/>
      <c r="E81" s="7"/>
      <c r="F81" s="7"/>
      <c r="G81" s="7"/>
      <c r="H81" s="126"/>
      <c r="I81" s="7"/>
      <c r="J81" s="126"/>
      <c r="K81" s="7"/>
      <c r="L81" s="7"/>
      <c r="M81" s="9"/>
      <c r="N81" s="7"/>
      <c r="P81" s="105"/>
      <c r="S81" s="48"/>
      <c r="T81" s="53" t="s">
        <v>0</v>
      </c>
      <c r="U81" s="53" t="s">
        <v>56</v>
      </c>
      <c r="V81" s="68">
        <f>V82</f>
        <v>39621.864583333336</v>
      </c>
      <c r="AD81" s="24"/>
      <c r="AE81" s="98"/>
      <c r="AF81" s="48"/>
      <c r="AG81" s="53"/>
      <c r="AH81" s="53"/>
      <c r="AI81" s="49"/>
      <c r="AJ81" s="48"/>
      <c r="AK81" s="48"/>
      <c r="AL81" s="48"/>
      <c r="AM81" s="48"/>
      <c r="AN81" s="48"/>
      <c r="AO81" s="48"/>
      <c r="AP81" s="50"/>
      <c r="AQ81" s="15"/>
      <c r="AR81" s="24"/>
      <c r="AS81" s="48"/>
      <c r="EE81" s="5"/>
      <c r="EF81" s="62" t="s">
        <v>487</v>
      </c>
    </row>
    <row r="82" spans="2:136" s="3" customFormat="1" ht="15" customHeight="1">
      <c r="B82" s="6"/>
      <c r="C82" s="8">
        <v>15</v>
      </c>
      <c r="D82" s="65">
        <f>E82</f>
        <v>39613.75</v>
      </c>
      <c r="E82" s="61">
        <f>Timezone!J16</f>
        <v>39613.75</v>
      </c>
      <c r="F82" s="24"/>
      <c r="G82" s="8" t="str">
        <f>INDEX(Language!B$2:BI$80,SUMIF('Row and Column'!A$5:A$21,"Sweden",'Row and Column'!B$5:B$21),SUMIF('Row and Column'!D$5:D$75,I$3,'Row and Column'!E$5:E$75))</f>
        <v>Sweden</v>
      </c>
      <c r="H82" s="25"/>
      <c r="I82" s="15" t="s">
        <v>3</v>
      </c>
      <c r="J82" s="25"/>
      <c r="K82" s="7"/>
      <c r="L82" s="8" t="str">
        <f>INDEX(Language!B$2:BI$80,SUMIF('Row and Column'!A$5:A$21,"Spain",'Row and Column'!B$5:B$21),SUMIF('Row and Column'!D$5:D$75,I$3,'Row and Column'!E$5:E$75))</f>
        <v>Spain</v>
      </c>
      <c r="M82" s="78"/>
      <c r="N82" s="7"/>
      <c r="O82" s="24"/>
      <c r="P82" s="97"/>
      <c r="Q82" s="24"/>
      <c r="R82" s="24"/>
      <c r="S82" s="48"/>
      <c r="T82" s="53" t="s">
        <v>1</v>
      </c>
      <c r="U82" s="53" t="s">
        <v>56</v>
      </c>
      <c r="V82" s="67">
        <f>Timezone!J29</f>
        <v>39621.864583333336</v>
      </c>
      <c r="W82" s="48"/>
      <c r="X82" s="50"/>
      <c r="Y82" s="50"/>
      <c r="Z82" s="50"/>
      <c r="AA82" s="50"/>
      <c r="AB82" s="50"/>
      <c r="AC82" s="48"/>
      <c r="AD82" s="24"/>
      <c r="AE82" s="98"/>
      <c r="AF82" s="48"/>
      <c r="AG82" s="53"/>
      <c r="AH82" s="53"/>
      <c r="AI82" s="49"/>
      <c r="AJ82" s="48"/>
      <c r="AK82" s="48"/>
      <c r="AL82" s="48"/>
      <c r="AM82" s="48"/>
      <c r="AN82" s="48"/>
      <c r="AO82" s="48"/>
      <c r="AP82" s="50"/>
      <c r="AQ82" s="15"/>
      <c r="AR82" s="24"/>
      <c r="AS82" s="48"/>
      <c r="EE82" s="5"/>
      <c r="EF82" s="62" t="s">
        <v>488</v>
      </c>
    </row>
    <row r="83" spans="2:136" s="3" customFormat="1" ht="15" customHeight="1">
      <c r="B83" s="6"/>
      <c r="C83" s="8">
        <v>16</v>
      </c>
      <c r="D83" s="65">
        <f>E83</f>
        <v>39613.864583333336</v>
      </c>
      <c r="E83" s="61">
        <f>Timezone!J17</f>
        <v>39613.864583333336</v>
      </c>
      <c r="F83" s="24"/>
      <c r="G83" s="8" t="str">
        <f>INDEX(Language!B$2:BI$80,SUMIF('Row and Column'!A$5:A$21,"Greece",'Row and Column'!B$5:B$21),SUMIF('Row and Column'!D$5:D$75,I$3,'Row and Column'!E$5:E$75))</f>
        <v>Greece</v>
      </c>
      <c r="H83" s="25"/>
      <c r="I83" s="15" t="s">
        <v>3</v>
      </c>
      <c r="J83" s="25"/>
      <c r="K83" s="7"/>
      <c r="L83" s="8" t="str">
        <f>INDEX(Language!B$2:BI$80,SUMIF('Row and Column'!A$5:A$21,"Russia",'Row and Column'!B$5:B$21),SUMIF('Row and Column'!D$5:D$75,I$3,'Row and Column'!E$5:E$75))</f>
        <v>Russia</v>
      </c>
      <c r="M83" s="9"/>
      <c r="N83" s="7"/>
      <c r="O83" s="24"/>
      <c r="P83" s="97"/>
      <c r="Q83" s="24"/>
      <c r="R83" s="24"/>
      <c r="S83" s="48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24"/>
      <c r="AE83" s="98"/>
      <c r="AF83" s="48"/>
      <c r="AG83" s="53"/>
      <c r="AH83" s="53"/>
      <c r="AI83" s="49"/>
      <c r="AJ83" s="48"/>
      <c r="AK83" s="48"/>
      <c r="AL83" s="48"/>
      <c r="AM83" s="48"/>
      <c r="AN83" s="48"/>
      <c r="AO83" s="48"/>
      <c r="AP83" s="50"/>
      <c r="AQ83" s="15"/>
      <c r="AR83" s="24"/>
      <c r="AS83" s="48"/>
      <c r="EE83" s="5"/>
      <c r="EF83" s="62" t="s">
        <v>489</v>
      </c>
    </row>
    <row r="84" spans="2:136" s="3" customFormat="1" ht="15" customHeight="1" thickBot="1">
      <c r="B84" s="6"/>
      <c r="C84" s="7"/>
      <c r="D84" s="7"/>
      <c r="E84" s="7"/>
      <c r="F84" s="7"/>
      <c r="G84" s="7"/>
      <c r="H84" s="126"/>
      <c r="I84" s="7"/>
      <c r="J84" s="126"/>
      <c r="K84" s="7"/>
      <c r="L84" s="7"/>
      <c r="M84" s="9"/>
      <c r="N84" s="7"/>
      <c r="O84" s="24"/>
      <c r="P84" s="97"/>
      <c r="Q84" s="24"/>
      <c r="R84" s="24"/>
      <c r="AE84" s="97"/>
      <c r="AF84" s="48"/>
      <c r="AG84" s="53"/>
      <c r="AH84" s="53"/>
      <c r="AI84" s="49"/>
      <c r="AJ84" s="48"/>
      <c r="AK84" s="48"/>
      <c r="AL84" s="48"/>
      <c r="AM84" s="48"/>
      <c r="AN84" s="48"/>
      <c r="AO84" s="48"/>
      <c r="AP84" s="50"/>
      <c r="AQ84" s="15"/>
      <c r="AR84" s="24"/>
      <c r="AS84" s="48"/>
      <c r="EE84" s="5"/>
      <c r="EF84" s="62" t="s">
        <v>490</v>
      </c>
    </row>
    <row r="85" spans="2:136" s="3" customFormat="1" ht="15" customHeight="1" thickBot="1">
      <c r="B85" s="6"/>
      <c r="C85" s="8">
        <v>23</v>
      </c>
      <c r="D85" s="65">
        <f>E85</f>
        <v>39617.864583333336</v>
      </c>
      <c r="E85" s="61">
        <f>Timezone!J24</f>
        <v>39617.864583333336</v>
      </c>
      <c r="F85" s="24"/>
      <c r="G85" s="8" t="str">
        <f>INDEX(Language!B$2:BI$80,SUMIF('Row and Column'!A$5:A$21,"Greece",'Row and Column'!B$5:B$21),SUMIF('Row and Column'!D$5:D$75,I$3,'Row and Column'!E$5:E$75))</f>
        <v>Greece</v>
      </c>
      <c r="H85" s="25"/>
      <c r="I85" s="15" t="s">
        <v>3</v>
      </c>
      <c r="J85" s="25"/>
      <c r="K85" s="7"/>
      <c r="L85" s="8" t="str">
        <f>INDEX(Language!B$2:BI$80,SUMIF('Row and Column'!A$5:A$21,"Spain",'Row and Column'!B$5:B$21),SUMIF('Row and Column'!D$5:D$75,I$3,'Row and Column'!E$5:E$75))</f>
        <v>Spain</v>
      </c>
      <c r="M85" s="9"/>
      <c r="N85" s="7"/>
      <c r="O85" s="24"/>
      <c r="P85" s="97"/>
      <c r="Q85" s="97"/>
      <c r="R85" s="97"/>
      <c r="S85" s="101"/>
      <c r="T85" s="99" t="str">
        <f>IF(SUM(H53:H56)=12,G54,"Group C Runner Up")</f>
        <v>Group C Runner Up</v>
      </c>
      <c r="U85" s="99"/>
      <c r="V85" s="102"/>
      <c r="W85" s="103">
        <f>IF(Y85="","",IF(AND(Y75=Y85,Y75&lt;&gt;"",Y85&lt;&gt;""),IF(AND(AA75=AA85,AA75&lt;&gt;"",AA85&lt;&gt;""),IF(AND(AC75=AC85,AC75&lt;&gt;"",AC85&lt;&gt;""),"",Y85+AA85+AC85),Y85+AA85),Y85))</f>
      </c>
      <c r="X85" s="106"/>
      <c r="Y85" s="104"/>
      <c r="Z85" s="133"/>
      <c r="AA85" s="104"/>
      <c r="AB85" s="133"/>
      <c r="AC85" s="104"/>
      <c r="AD85" s="97"/>
      <c r="AE85" s="97"/>
      <c r="AF85" s="48"/>
      <c r="AG85" s="53"/>
      <c r="AH85" s="53"/>
      <c r="AI85" s="49"/>
      <c r="AJ85" s="48"/>
      <c r="AK85" s="48"/>
      <c r="AL85" s="48"/>
      <c r="AM85" s="48"/>
      <c r="AN85" s="48"/>
      <c r="AO85" s="48"/>
      <c r="AP85" s="50"/>
      <c r="AQ85" s="24"/>
      <c r="AR85" s="24"/>
      <c r="AS85" s="48"/>
      <c r="EE85" s="5"/>
      <c r="EF85" s="62" t="s">
        <v>491</v>
      </c>
    </row>
    <row r="86" spans="2:136" s="3" customFormat="1" ht="15" customHeight="1">
      <c r="B86" s="6"/>
      <c r="C86" s="8">
        <v>24</v>
      </c>
      <c r="D86" s="65">
        <f>E86</f>
        <v>39617.864583333336</v>
      </c>
      <c r="E86" s="61">
        <f>Timezone!J25</f>
        <v>39617.864583333336</v>
      </c>
      <c r="F86" s="24"/>
      <c r="G86" s="8" t="str">
        <f>INDEX(Language!B$2:BI$80,SUMIF('Row and Column'!A$5:A$21,"Russia",'Row and Column'!B$5:B$21),SUMIF('Row and Column'!D$5:D$75,I$3,'Row and Column'!E$5:E$75))</f>
        <v>Russia</v>
      </c>
      <c r="H86" s="25"/>
      <c r="I86" s="15" t="s">
        <v>3</v>
      </c>
      <c r="J86" s="25"/>
      <c r="K86" s="7"/>
      <c r="L86" s="8" t="str">
        <f>INDEX(Language!B$2:BI$80,SUMIF('Row and Column'!A$5:A$21,"Sweden",'Row and Column'!B$5:B$21),SUMIF('Row and Column'!D$5:D$75,I$3,'Row and Column'!E$5:E$75))</f>
        <v>Sweden</v>
      </c>
      <c r="M86" s="9"/>
      <c r="N86" s="7"/>
      <c r="O86" s="24"/>
      <c r="P86" s="24"/>
      <c r="Q86" s="24"/>
      <c r="R86" s="24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24"/>
      <c r="AE86" s="24"/>
      <c r="AF86" s="48"/>
      <c r="AG86" s="53"/>
      <c r="AH86" s="53"/>
      <c r="AI86" s="49"/>
      <c r="AJ86" s="48"/>
      <c r="AK86" s="48"/>
      <c r="AL86" s="48"/>
      <c r="AM86" s="48"/>
      <c r="AN86" s="48"/>
      <c r="AO86" s="48"/>
      <c r="AP86" s="50"/>
      <c r="AQ86" s="55"/>
      <c r="AR86" s="24"/>
      <c r="AS86" s="48"/>
      <c r="EE86" s="5"/>
      <c r="EF86" s="62" t="s">
        <v>492</v>
      </c>
    </row>
    <row r="87" spans="2:136" s="3" customFormat="1" ht="15" customHeight="1"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2"/>
      <c r="N87" s="7"/>
      <c r="O87" s="24"/>
      <c r="P87" s="24"/>
      <c r="Q87" s="24"/>
      <c r="R87" s="24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24"/>
      <c r="AE87" s="24"/>
      <c r="AF87" s="48"/>
      <c r="AG87" s="53"/>
      <c r="AH87" s="53"/>
      <c r="AI87" s="49"/>
      <c r="AJ87" s="48"/>
      <c r="AK87" s="48"/>
      <c r="AL87" s="48"/>
      <c r="AM87" s="48"/>
      <c r="AN87" s="48"/>
      <c r="AO87" s="48"/>
      <c r="AP87" s="50"/>
      <c r="AQ87" s="24"/>
      <c r="AR87" s="24"/>
      <c r="AS87" s="48"/>
      <c r="EE87" s="5"/>
      <c r="EF87" s="62" t="s">
        <v>493</v>
      </c>
    </row>
    <row r="88" spans="13:136" s="3" customFormat="1" ht="15" customHeight="1">
      <c r="M88" s="7"/>
      <c r="N88" s="7"/>
      <c r="O88" s="24"/>
      <c r="P88" s="24"/>
      <c r="Q88" s="24"/>
      <c r="R88" s="24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24"/>
      <c r="AE88" s="24"/>
      <c r="AF88" s="48"/>
      <c r="AG88" s="53"/>
      <c r="AH88" s="53"/>
      <c r="AI88" s="49"/>
      <c r="AJ88" s="48"/>
      <c r="AK88" s="48"/>
      <c r="AL88" s="48"/>
      <c r="AM88" s="48"/>
      <c r="AN88" s="48"/>
      <c r="AO88" s="48"/>
      <c r="AP88" s="50"/>
      <c r="AQ88" s="24"/>
      <c r="AR88" s="24"/>
      <c r="AS88" s="48"/>
      <c r="EE88" s="5"/>
      <c r="EF88" s="62" t="s">
        <v>494</v>
      </c>
    </row>
    <row r="89" spans="6:136" s="3" customFormat="1" ht="15" customHeight="1">
      <c r="F89" s="7"/>
      <c r="G89" s="7"/>
      <c r="H89" s="7"/>
      <c r="I89" s="7"/>
      <c r="J89" s="7"/>
      <c r="K89" s="7"/>
      <c r="L89" s="7"/>
      <c r="M89" s="7"/>
      <c r="N89" s="7"/>
      <c r="O89" s="24"/>
      <c r="P89" s="24"/>
      <c r="Q89" s="24"/>
      <c r="R89" s="24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24"/>
      <c r="AE89" s="24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24"/>
      <c r="AR89" s="24"/>
      <c r="AS89" s="48"/>
      <c r="BD89" s="47"/>
      <c r="EE89" s="5"/>
      <c r="EF89" s="62" t="s">
        <v>495</v>
      </c>
    </row>
    <row r="90" spans="1:136" ht="12.75">
      <c r="A90" s="3"/>
      <c r="B90" s="3"/>
      <c r="F90" s="69"/>
      <c r="G90" s="69"/>
      <c r="H90" s="69"/>
      <c r="I90" s="69"/>
      <c r="J90" s="69"/>
      <c r="K90" s="69"/>
      <c r="L90" s="69"/>
      <c r="M90" s="7"/>
      <c r="N90" s="7"/>
      <c r="O90" s="24"/>
      <c r="P90" s="24"/>
      <c r="Q90" s="24"/>
      <c r="R90" s="24"/>
      <c r="S90" s="48"/>
      <c r="T90" s="3"/>
      <c r="U90" s="3"/>
      <c r="V90" s="3"/>
      <c r="W90" s="3"/>
      <c r="X90" s="3"/>
      <c r="Y90" s="3"/>
      <c r="Z90" s="3"/>
      <c r="AA90" s="3"/>
      <c r="AB90" s="3"/>
      <c r="AC90" s="3"/>
      <c r="AD90" s="24"/>
      <c r="AE90" s="24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6"/>
      <c r="AR90" s="24"/>
      <c r="AS90" s="48"/>
      <c r="AT90" s="3"/>
      <c r="AU90" s="3"/>
      <c r="AV90" s="3"/>
      <c r="AW90" s="3"/>
      <c r="AX90" s="3"/>
      <c r="AY90" s="3"/>
      <c r="AZ90" s="3"/>
      <c r="BA90" s="3"/>
      <c r="BB90" s="3"/>
      <c r="BC90" s="3"/>
      <c r="EE90" s="59"/>
      <c r="EF90" s="62" t="s">
        <v>496</v>
      </c>
    </row>
    <row r="91" spans="1:136" ht="12.75">
      <c r="A91" s="3"/>
      <c r="B91" s="3"/>
      <c r="F91" s="69"/>
      <c r="G91" s="69"/>
      <c r="H91" s="69"/>
      <c r="I91" s="69"/>
      <c r="J91" s="69"/>
      <c r="K91" s="69"/>
      <c r="L91" s="69"/>
      <c r="M91" s="7"/>
      <c r="N91" s="7"/>
      <c r="O91" s="24"/>
      <c r="P91" s="24"/>
      <c r="Q91" s="24"/>
      <c r="R91" s="24"/>
      <c r="S91" s="48"/>
      <c r="T91" s="3"/>
      <c r="U91" s="3"/>
      <c r="V91" s="3"/>
      <c r="W91" s="3"/>
      <c r="X91" s="3"/>
      <c r="Y91" s="3"/>
      <c r="Z91" s="3"/>
      <c r="AA91" s="3"/>
      <c r="AB91" s="3"/>
      <c r="AC91" s="3"/>
      <c r="AD91" s="24"/>
      <c r="AE91" s="24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15"/>
      <c r="AR91" s="24"/>
      <c r="AS91" s="48"/>
      <c r="AT91" s="3"/>
      <c r="AU91" s="3"/>
      <c r="AV91" s="3"/>
      <c r="AW91" s="3"/>
      <c r="AX91" s="3"/>
      <c r="AY91" s="3"/>
      <c r="AZ91" s="3"/>
      <c r="BA91" s="3"/>
      <c r="BB91" s="3"/>
      <c r="BC91" s="3"/>
      <c r="EE91" s="59"/>
      <c r="EF91" s="62" t="s">
        <v>497</v>
      </c>
    </row>
    <row r="92" spans="1:136" ht="12.75">
      <c r="A92" s="3"/>
      <c r="B92" s="3"/>
      <c r="F92" s="69"/>
      <c r="G92" s="69"/>
      <c r="H92" s="69"/>
      <c r="I92" s="69"/>
      <c r="J92" s="69"/>
      <c r="K92" s="69"/>
      <c r="L92" s="69"/>
      <c r="M92" s="7"/>
      <c r="N92" s="7"/>
      <c r="O92" s="23"/>
      <c r="P92" s="23"/>
      <c r="Q92" s="23"/>
      <c r="R92" s="23"/>
      <c r="S92" s="50"/>
      <c r="T92" s="3"/>
      <c r="U92" s="3"/>
      <c r="V92" s="3"/>
      <c r="W92" s="3"/>
      <c r="X92" s="3"/>
      <c r="Y92" s="3"/>
      <c r="Z92" s="3"/>
      <c r="AA92" s="3"/>
      <c r="AB92" s="3"/>
      <c r="AC92" s="3"/>
      <c r="AD92" s="24"/>
      <c r="AE92" s="24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15"/>
      <c r="AR92" s="24"/>
      <c r="AS92" s="48"/>
      <c r="AT92" s="3"/>
      <c r="AU92" s="3"/>
      <c r="AV92" s="3"/>
      <c r="AW92" s="3"/>
      <c r="AX92" s="3"/>
      <c r="AY92" s="3"/>
      <c r="AZ92" s="3"/>
      <c r="BA92" s="3"/>
      <c r="BB92" s="3"/>
      <c r="BC92" s="3"/>
      <c r="EE92" s="59"/>
      <c r="EF92" s="62" t="s">
        <v>498</v>
      </c>
    </row>
    <row r="93" spans="1:136" ht="12.75">
      <c r="A93" s="3"/>
      <c r="B93" s="3"/>
      <c r="F93" s="69"/>
      <c r="G93" s="69"/>
      <c r="H93" s="69"/>
      <c r="I93" s="69"/>
      <c r="J93" s="69"/>
      <c r="K93" s="69"/>
      <c r="L93" s="69"/>
      <c r="M93" s="7"/>
      <c r="N93" s="7"/>
      <c r="O93" s="24"/>
      <c r="P93" s="24"/>
      <c r="Q93" s="24"/>
      <c r="R93" s="24"/>
      <c r="S93" s="48"/>
      <c r="T93" s="3"/>
      <c r="U93" s="3"/>
      <c r="V93" s="3"/>
      <c r="W93" s="3"/>
      <c r="X93" s="3"/>
      <c r="Y93" s="3"/>
      <c r="Z93" s="3"/>
      <c r="AA93" s="3"/>
      <c r="AB93" s="3"/>
      <c r="AC93" s="3"/>
      <c r="AD93" s="24"/>
      <c r="AE93" s="15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15"/>
      <c r="AR93" s="24"/>
      <c r="AS93" s="48"/>
      <c r="AT93" s="3"/>
      <c r="AU93" s="3"/>
      <c r="AV93" s="3"/>
      <c r="AW93" s="3"/>
      <c r="AX93" s="3"/>
      <c r="AY93" s="3"/>
      <c r="AZ93" s="3"/>
      <c r="BA93" s="3"/>
      <c r="BB93" s="3"/>
      <c r="BC93" s="3"/>
      <c r="EE93" s="59"/>
      <c r="EF93" s="62" t="s">
        <v>499</v>
      </c>
    </row>
    <row r="94" spans="1:136" ht="12.75">
      <c r="A94" s="3"/>
      <c r="B94" s="3"/>
      <c r="F94" s="69"/>
      <c r="G94" s="69"/>
      <c r="H94" s="69"/>
      <c r="I94" s="69"/>
      <c r="J94" s="69"/>
      <c r="K94" s="69"/>
      <c r="L94" s="69"/>
      <c r="M94" s="7"/>
      <c r="N94" s="7"/>
      <c r="O94" s="24"/>
      <c r="P94" s="24"/>
      <c r="Q94" s="24"/>
      <c r="R94" s="24"/>
      <c r="S94" s="48"/>
      <c r="T94" s="3"/>
      <c r="U94" s="3"/>
      <c r="V94" s="3"/>
      <c r="W94" s="3"/>
      <c r="X94" s="3"/>
      <c r="Y94" s="3"/>
      <c r="Z94" s="3"/>
      <c r="AA94" s="3"/>
      <c r="AB94" s="3"/>
      <c r="AC94" s="3"/>
      <c r="AD94" s="24"/>
      <c r="AE94" s="15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24"/>
      <c r="AR94" s="24"/>
      <c r="AS94" s="48"/>
      <c r="EE94" s="59"/>
      <c r="EF94" s="62" t="s">
        <v>500</v>
      </c>
    </row>
    <row r="95" spans="1:136" ht="12.75">
      <c r="A95" s="3"/>
      <c r="B95" s="3"/>
      <c r="F95" s="69"/>
      <c r="G95" s="69"/>
      <c r="H95" s="69"/>
      <c r="I95" s="69"/>
      <c r="J95" s="69"/>
      <c r="K95" s="69"/>
      <c r="L95" s="69"/>
      <c r="M95" s="7"/>
      <c r="N95" s="7"/>
      <c r="O95" s="24"/>
      <c r="P95" s="24"/>
      <c r="Q95" s="24"/>
      <c r="R95" s="24"/>
      <c r="S95" s="48"/>
      <c r="T95" s="3"/>
      <c r="U95" s="3"/>
      <c r="V95" s="3"/>
      <c r="W95" s="3"/>
      <c r="X95" s="3"/>
      <c r="Y95" s="3"/>
      <c r="Z95" s="3"/>
      <c r="AA95" s="3"/>
      <c r="AB95" s="3"/>
      <c r="AC95" s="3"/>
      <c r="AD95" s="24"/>
      <c r="AE95" s="24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24"/>
      <c r="AR95" s="24"/>
      <c r="AS95" s="48"/>
      <c r="EE95" s="59"/>
      <c r="EF95" s="62" t="s">
        <v>501</v>
      </c>
    </row>
    <row r="96" spans="1:136" ht="12.75">
      <c r="A96" s="3"/>
      <c r="B96" s="3"/>
      <c r="F96" s="69"/>
      <c r="G96" s="69"/>
      <c r="H96" s="69"/>
      <c r="I96" s="69"/>
      <c r="J96" s="69"/>
      <c r="K96" s="69"/>
      <c r="L96" s="69"/>
      <c r="M96" s="7"/>
      <c r="N96" s="24"/>
      <c r="O96" s="24"/>
      <c r="P96" s="24"/>
      <c r="Q96" s="24"/>
      <c r="R96" s="24"/>
      <c r="S96" s="48"/>
      <c r="T96" s="3"/>
      <c r="U96" s="3"/>
      <c r="V96" s="3"/>
      <c r="W96" s="3"/>
      <c r="X96" s="3"/>
      <c r="Y96" s="3"/>
      <c r="Z96" s="3"/>
      <c r="AA96" s="3"/>
      <c r="AB96" s="3"/>
      <c r="AC96" s="3"/>
      <c r="AD96" s="24"/>
      <c r="AE96" s="24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24"/>
      <c r="AR96" s="24"/>
      <c r="AS96" s="48"/>
      <c r="EE96" s="59"/>
      <c r="EF96" s="62" t="s">
        <v>502</v>
      </c>
    </row>
    <row r="97" spans="1:136" ht="12.75">
      <c r="A97" s="3"/>
      <c r="B97" s="3"/>
      <c r="F97" s="69"/>
      <c r="G97" s="69"/>
      <c r="H97" s="69"/>
      <c r="I97" s="69"/>
      <c r="J97" s="69"/>
      <c r="K97" s="69"/>
      <c r="L97" s="69"/>
      <c r="M97" s="7"/>
      <c r="N97" s="24"/>
      <c r="O97" s="24"/>
      <c r="P97" s="24"/>
      <c r="Q97" s="24"/>
      <c r="R97" s="24"/>
      <c r="S97" s="50"/>
      <c r="T97" s="3"/>
      <c r="U97" s="3"/>
      <c r="V97" s="3"/>
      <c r="W97" s="3"/>
      <c r="X97" s="3"/>
      <c r="Y97" s="3"/>
      <c r="Z97" s="3"/>
      <c r="AA97" s="3"/>
      <c r="AB97" s="3"/>
      <c r="AC97" s="3"/>
      <c r="AD97" s="24"/>
      <c r="AE97" s="24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24"/>
      <c r="AR97" s="24"/>
      <c r="AS97" s="48"/>
      <c r="EE97" s="59"/>
      <c r="EF97" s="62" t="s">
        <v>503</v>
      </c>
    </row>
    <row r="98" spans="1:136" ht="12.75">
      <c r="A98" s="3"/>
      <c r="B98" s="3"/>
      <c r="F98" s="69"/>
      <c r="G98" s="69"/>
      <c r="H98" s="69"/>
      <c r="I98" s="69"/>
      <c r="J98" s="69"/>
      <c r="K98" s="69"/>
      <c r="L98" s="69"/>
      <c r="M98" s="7"/>
      <c r="N98" s="24"/>
      <c r="O98" s="24"/>
      <c r="P98" s="24"/>
      <c r="Q98" s="24"/>
      <c r="R98" s="24"/>
      <c r="S98" s="50"/>
      <c r="T98" s="3"/>
      <c r="U98" s="3"/>
      <c r="V98" s="3"/>
      <c r="W98" s="3"/>
      <c r="X98" s="3"/>
      <c r="Y98" s="3"/>
      <c r="Z98" s="3"/>
      <c r="AA98" s="3"/>
      <c r="AB98" s="3"/>
      <c r="AC98" s="3"/>
      <c r="AD98" s="24"/>
      <c r="AE98" s="24"/>
      <c r="AF98" s="50"/>
      <c r="AG98" s="54"/>
      <c r="AH98" s="54"/>
      <c r="AI98" s="49"/>
      <c r="AJ98" s="48"/>
      <c r="AK98" s="50"/>
      <c r="AL98" s="50"/>
      <c r="AM98" s="50"/>
      <c r="AN98" s="50"/>
      <c r="AO98" s="50"/>
      <c r="AP98" s="48"/>
      <c r="AQ98" s="24"/>
      <c r="AR98" s="24"/>
      <c r="EE98" s="59"/>
      <c r="EF98" s="62" t="s">
        <v>504</v>
      </c>
    </row>
    <row r="99" spans="1:136" ht="12.75">
      <c r="A99" s="3"/>
      <c r="B99" s="3"/>
      <c r="F99" s="69"/>
      <c r="G99" s="69"/>
      <c r="H99" s="69"/>
      <c r="I99" s="69"/>
      <c r="J99" s="69"/>
      <c r="K99" s="69"/>
      <c r="L99" s="69"/>
      <c r="M99" s="7"/>
      <c r="N99" s="24"/>
      <c r="O99" s="3"/>
      <c r="P99" s="3"/>
      <c r="Q99" s="3"/>
      <c r="R99" s="3"/>
      <c r="S99" s="48"/>
      <c r="T99" s="3"/>
      <c r="U99" s="3"/>
      <c r="V99" s="3"/>
      <c r="W99" s="3"/>
      <c r="X99" s="3"/>
      <c r="Y99" s="3"/>
      <c r="Z99" s="3"/>
      <c r="AA99" s="3"/>
      <c r="AB99" s="3"/>
      <c r="AC99" s="3"/>
      <c r="AD99" s="24"/>
      <c r="AE99" s="24"/>
      <c r="AF99" s="48"/>
      <c r="AG99" s="50"/>
      <c r="AH99" s="50"/>
      <c r="AI99" s="50"/>
      <c r="AJ99" s="48"/>
      <c r="AK99" s="48"/>
      <c r="AL99" s="50"/>
      <c r="AM99" s="48"/>
      <c r="AN99" s="50"/>
      <c r="AO99" s="48"/>
      <c r="AP99" s="50"/>
      <c r="AQ99" s="24"/>
      <c r="AR99" s="24"/>
      <c r="EE99" s="59"/>
      <c r="EF99" s="62" t="s">
        <v>505</v>
      </c>
    </row>
    <row r="100" spans="1:136" ht="12.75">
      <c r="A100" s="3"/>
      <c r="B100" s="3"/>
      <c r="C100" s="3"/>
      <c r="D100" s="3"/>
      <c r="E100" s="3"/>
      <c r="F100" s="7"/>
      <c r="G100" s="7"/>
      <c r="H100" s="7"/>
      <c r="I100" s="7"/>
      <c r="J100" s="7"/>
      <c r="K100" s="7"/>
      <c r="L100" s="7"/>
      <c r="M100" s="7"/>
      <c r="N100" s="24"/>
      <c r="O100" s="3"/>
      <c r="P100" s="3"/>
      <c r="Q100" s="3"/>
      <c r="R100" s="3"/>
      <c r="S100" s="48"/>
      <c r="X100" s="3"/>
      <c r="Y100" s="3"/>
      <c r="Z100" s="3"/>
      <c r="AA100" s="3"/>
      <c r="AB100" s="3"/>
      <c r="AC100" s="3"/>
      <c r="AD100" s="24"/>
      <c r="AE100" s="24"/>
      <c r="AF100" s="48"/>
      <c r="AG100" s="50"/>
      <c r="AH100" s="50"/>
      <c r="AI100" s="50"/>
      <c r="AJ100" s="49"/>
      <c r="AK100" s="48"/>
      <c r="AL100" s="48"/>
      <c r="AM100" s="48"/>
      <c r="AN100" s="50"/>
      <c r="AO100" s="48"/>
      <c r="AP100" s="50"/>
      <c r="AQ100" s="24"/>
      <c r="AR100" s="24"/>
      <c r="EE100" s="59"/>
      <c r="EF100" s="62" t="s">
        <v>506</v>
      </c>
    </row>
    <row r="101" spans="1:136" ht="12.75">
      <c r="A101" s="24"/>
      <c r="B101" s="3"/>
      <c r="C101" s="3"/>
      <c r="D101" s="3"/>
      <c r="E101" s="3"/>
      <c r="F101" s="7"/>
      <c r="G101" s="7"/>
      <c r="H101" s="7"/>
      <c r="I101" s="7"/>
      <c r="J101" s="7"/>
      <c r="K101" s="7"/>
      <c r="L101" s="7"/>
      <c r="M101" s="7"/>
      <c r="N101" s="24"/>
      <c r="O101" s="24"/>
      <c r="P101" s="24"/>
      <c r="Q101" s="24"/>
      <c r="R101" s="24"/>
      <c r="S101" s="48"/>
      <c r="X101" s="3"/>
      <c r="Y101" s="3"/>
      <c r="Z101" s="3"/>
      <c r="AA101" s="3"/>
      <c r="AB101" s="3"/>
      <c r="AC101" s="3"/>
      <c r="AD101" s="24"/>
      <c r="AE101" s="15"/>
      <c r="AF101" s="54"/>
      <c r="AG101" s="48"/>
      <c r="AH101" s="48"/>
      <c r="AI101" s="48"/>
      <c r="AJ101" s="49"/>
      <c r="AK101" s="54"/>
      <c r="AL101" s="48"/>
      <c r="AM101" s="54"/>
      <c r="AN101" s="50"/>
      <c r="AO101" s="54"/>
      <c r="AP101" s="50"/>
      <c r="AQ101" s="24"/>
      <c r="AR101" s="24"/>
      <c r="EE101" s="59"/>
      <c r="EF101" s="62" t="s">
        <v>507</v>
      </c>
    </row>
    <row r="102" spans="1:136" ht="12.75">
      <c r="A102" s="46"/>
      <c r="B102" s="3"/>
      <c r="F102" s="69"/>
      <c r="G102" s="69"/>
      <c r="H102" s="69"/>
      <c r="I102" s="69"/>
      <c r="J102" s="69"/>
      <c r="K102" s="69"/>
      <c r="L102" s="69"/>
      <c r="M102" s="7"/>
      <c r="N102" s="24"/>
      <c r="O102" s="46"/>
      <c r="P102" s="46"/>
      <c r="Q102" s="46"/>
      <c r="R102" s="46"/>
      <c r="S102" s="48"/>
      <c r="X102" s="3"/>
      <c r="Y102" s="3"/>
      <c r="Z102" s="3"/>
      <c r="AA102" s="3"/>
      <c r="AB102" s="3"/>
      <c r="AC102" s="3"/>
      <c r="AD102" s="24"/>
      <c r="AE102" s="15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24"/>
      <c r="AR102" s="24"/>
      <c r="EE102" s="59"/>
      <c r="EF102" s="62" t="s">
        <v>508</v>
      </c>
    </row>
    <row r="103" spans="1:136" ht="12.75">
      <c r="A103" s="46"/>
      <c r="B103" s="3"/>
      <c r="F103" s="69"/>
      <c r="G103" s="69"/>
      <c r="H103" s="69"/>
      <c r="I103" s="69"/>
      <c r="J103" s="69"/>
      <c r="K103" s="69"/>
      <c r="L103" s="69"/>
      <c r="M103" s="7"/>
      <c r="N103" s="24"/>
      <c r="O103" s="46"/>
      <c r="P103" s="46"/>
      <c r="Q103" s="46"/>
      <c r="R103" s="46"/>
      <c r="S103" s="50"/>
      <c r="X103" s="3"/>
      <c r="Y103" s="3"/>
      <c r="Z103" s="3"/>
      <c r="AA103" s="3"/>
      <c r="AB103" s="3"/>
      <c r="AC103" s="3"/>
      <c r="AD103" s="24"/>
      <c r="AE103" s="24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24"/>
      <c r="AR103" s="24"/>
      <c r="EE103" s="59"/>
      <c r="EF103" s="62" t="s">
        <v>509</v>
      </c>
    </row>
    <row r="104" spans="1:136" ht="12.75">
      <c r="A104" s="46"/>
      <c r="B104" s="3"/>
      <c r="F104" s="69"/>
      <c r="G104" s="69"/>
      <c r="H104" s="69"/>
      <c r="I104" s="69"/>
      <c r="J104" s="69"/>
      <c r="K104" s="69"/>
      <c r="L104" s="69"/>
      <c r="M104" s="7"/>
      <c r="N104" s="24"/>
      <c r="O104" s="46"/>
      <c r="P104" s="46"/>
      <c r="Q104" s="46"/>
      <c r="R104" s="46"/>
      <c r="S104" s="50"/>
      <c r="W104" s="50"/>
      <c r="X104" s="3"/>
      <c r="Y104" s="3"/>
      <c r="Z104" s="3"/>
      <c r="AA104" s="3"/>
      <c r="AB104" s="3"/>
      <c r="AC104" s="3"/>
      <c r="AD104" s="24"/>
      <c r="AE104" s="24"/>
      <c r="AQ104" s="24"/>
      <c r="AR104" s="24"/>
      <c r="EE104" s="59"/>
      <c r="EF104" s="62" t="s">
        <v>510</v>
      </c>
    </row>
    <row r="105" spans="1:136" ht="12.75">
      <c r="A105" s="46"/>
      <c r="B105" s="3"/>
      <c r="F105" s="69"/>
      <c r="G105" s="69"/>
      <c r="H105" s="69"/>
      <c r="I105" s="69"/>
      <c r="J105" s="69"/>
      <c r="K105" s="69"/>
      <c r="L105" s="69"/>
      <c r="M105" s="7"/>
      <c r="N105" s="24"/>
      <c r="O105" s="46"/>
      <c r="P105" s="46"/>
      <c r="Q105" s="46"/>
      <c r="R105" s="46"/>
      <c r="S105" s="48"/>
      <c r="W105" s="50"/>
      <c r="X105" s="3"/>
      <c r="Y105" s="3"/>
      <c r="Z105" s="3"/>
      <c r="AA105" s="3"/>
      <c r="AB105" s="3"/>
      <c r="AC105" s="3"/>
      <c r="AD105" s="24"/>
      <c r="AE105" s="24"/>
      <c r="AQ105" s="24"/>
      <c r="EE105" s="59"/>
      <c r="EF105" s="62" t="s">
        <v>511</v>
      </c>
    </row>
    <row r="106" spans="1:136" ht="12.75">
      <c r="A106" s="46"/>
      <c r="B106" s="3"/>
      <c r="M106" s="3"/>
      <c r="N106" s="23"/>
      <c r="O106" s="46"/>
      <c r="P106" s="46"/>
      <c r="Q106" s="46"/>
      <c r="R106" s="46"/>
      <c r="S106" s="48"/>
      <c r="W106" s="3"/>
      <c r="X106" s="3"/>
      <c r="Y106" s="3"/>
      <c r="Z106" s="3"/>
      <c r="AA106" s="3"/>
      <c r="AB106" s="3"/>
      <c r="AC106" s="3"/>
      <c r="AD106" s="24"/>
      <c r="AE106" s="24"/>
      <c r="AF106" s="7"/>
      <c r="AG106" s="7"/>
      <c r="AH106" s="7"/>
      <c r="AI106" s="52"/>
      <c r="AJ106" s="7"/>
      <c r="AK106" s="7"/>
      <c r="AL106" s="8"/>
      <c r="AM106" s="7"/>
      <c r="AN106" s="8"/>
      <c r="AO106" s="7"/>
      <c r="AP106" s="8"/>
      <c r="AQ106" s="24"/>
      <c r="EE106" s="59"/>
      <c r="EF106" s="62" t="s">
        <v>512</v>
      </c>
    </row>
    <row r="107" spans="1:136" ht="12.75">
      <c r="A107" s="46"/>
      <c r="B107" s="3"/>
      <c r="M107" s="3"/>
      <c r="N107" s="24"/>
      <c r="O107" s="46"/>
      <c r="P107" s="46"/>
      <c r="Q107" s="46"/>
      <c r="R107" s="46"/>
      <c r="S107" s="48"/>
      <c r="W107" s="48"/>
      <c r="X107" s="3"/>
      <c r="Y107" s="3"/>
      <c r="Z107" s="3"/>
      <c r="AA107" s="3"/>
      <c r="AB107" s="3"/>
      <c r="AC107" s="3"/>
      <c r="AD107" s="56"/>
      <c r="AE107" s="24"/>
      <c r="AF107" s="7"/>
      <c r="AG107" s="8"/>
      <c r="AH107" s="8"/>
      <c r="AK107" s="7"/>
      <c r="AM107" s="7"/>
      <c r="AN107" s="15"/>
      <c r="AO107" s="7"/>
      <c r="AQ107" s="24"/>
      <c r="EE107" s="59"/>
      <c r="EF107" s="62" t="s">
        <v>513</v>
      </c>
    </row>
    <row r="108" spans="1:136" ht="12.75">
      <c r="A108" s="46"/>
      <c r="B108" s="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46"/>
      <c r="P108" s="46"/>
      <c r="Q108" s="46"/>
      <c r="R108" s="46"/>
      <c r="S108" s="48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24"/>
      <c r="AE108" s="24"/>
      <c r="AF108" s="7"/>
      <c r="AG108" s="7"/>
      <c r="AH108" s="7"/>
      <c r="AI108" s="7"/>
      <c r="AJ108" s="52"/>
      <c r="AK108" s="7"/>
      <c r="AM108" s="7"/>
      <c r="AN108" s="15"/>
      <c r="AO108" s="7"/>
      <c r="AQ108" s="24"/>
      <c r="EE108" s="59"/>
      <c r="EF108" s="62" t="s">
        <v>514</v>
      </c>
    </row>
    <row r="109" spans="1:136" ht="12.75">
      <c r="A109" s="46"/>
      <c r="B109" s="3"/>
      <c r="M109" s="24"/>
      <c r="N109" s="24"/>
      <c r="O109" s="46"/>
      <c r="P109" s="46"/>
      <c r="Q109" s="46"/>
      <c r="R109" s="46"/>
      <c r="S109" s="48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24"/>
      <c r="AE109" s="24"/>
      <c r="AF109" s="7"/>
      <c r="AG109" s="7"/>
      <c r="AH109" s="7"/>
      <c r="AI109" s="7"/>
      <c r="AJ109" s="52"/>
      <c r="AK109" s="7"/>
      <c r="AM109" s="7"/>
      <c r="AN109" s="15"/>
      <c r="AO109" s="7"/>
      <c r="AQ109" s="24"/>
      <c r="EE109" s="59"/>
      <c r="EF109" s="62" t="s">
        <v>515</v>
      </c>
    </row>
    <row r="110" spans="1:136" ht="12.75">
      <c r="A110" s="46"/>
      <c r="B110" s="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46"/>
      <c r="P110" s="46"/>
      <c r="Q110" s="46"/>
      <c r="R110" s="46"/>
      <c r="S110" s="48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24"/>
      <c r="AE110" s="24"/>
      <c r="AF110" s="7"/>
      <c r="AG110" s="7"/>
      <c r="AH110" s="7"/>
      <c r="AI110" s="7"/>
      <c r="AJ110" s="52"/>
      <c r="AK110" s="7"/>
      <c r="AM110" s="7"/>
      <c r="AN110" s="15"/>
      <c r="AO110" s="7"/>
      <c r="AQ110" s="24"/>
      <c r="EE110" s="59"/>
      <c r="EF110" s="62" t="s">
        <v>516</v>
      </c>
    </row>
    <row r="111" spans="1:136" ht="12.75">
      <c r="A111" s="46"/>
      <c r="B111" s="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46"/>
      <c r="P111" s="46"/>
      <c r="Q111" s="46"/>
      <c r="R111" s="46"/>
      <c r="S111" s="48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24"/>
      <c r="AE111" s="24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EE111" s="59"/>
      <c r="EF111" s="62" t="s">
        <v>517</v>
      </c>
    </row>
    <row r="112" spans="1:136" ht="12.75">
      <c r="A112" s="46"/>
      <c r="B112" s="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46"/>
      <c r="P112" s="46"/>
      <c r="Q112" s="46"/>
      <c r="R112" s="46"/>
      <c r="S112" s="48"/>
      <c r="AD112" s="24"/>
      <c r="AE112" s="24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EE112" s="59"/>
      <c r="EF112" s="62" t="s">
        <v>518</v>
      </c>
    </row>
    <row r="113" spans="1:136" ht="12.75">
      <c r="A113" s="46"/>
      <c r="B113" s="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3"/>
      <c r="O113" s="46"/>
      <c r="P113" s="46"/>
      <c r="Q113" s="46"/>
      <c r="R113" s="46"/>
      <c r="S113" s="48"/>
      <c r="AD113" s="24"/>
      <c r="AE113" s="24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EE113" s="59"/>
      <c r="EF113" s="62" t="s">
        <v>519</v>
      </c>
    </row>
    <row r="114" spans="1:136" ht="12.75">
      <c r="A114" s="46"/>
      <c r="B114" s="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3"/>
      <c r="O114" s="46"/>
      <c r="P114" s="46"/>
      <c r="Q114" s="46"/>
      <c r="R114" s="46"/>
      <c r="S114" s="48"/>
      <c r="AD114" s="24"/>
      <c r="AE114" s="24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EE114" s="59"/>
      <c r="EF114" s="62" t="s">
        <v>520</v>
      </c>
    </row>
    <row r="115" spans="2:136" ht="12.7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S115" s="48"/>
      <c r="AD115" s="24"/>
      <c r="AE115" s="24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EE115" s="59"/>
      <c r="EF115" s="62" t="s">
        <v>521</v>
      </c>
    </row>
    <row r="116" spans="2:136" ht="12.75">
      <c r="B116" s="46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46"/>
      <c r="S116" s="48"/>
      <c r="AD116" s="24"/>
      <c r="AE116" s="24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EE116" s="59"/>
      <c r="EF116" s="62" t="s">
        <v>522</v>
      </c>
    </row>
    <row r="117" spans="2:136" ht="12.75">
      <c r="B117" s="46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46"/>
      <c r="S117" s="48"/>
      <c r="AD117" s="15"/>
      <c r="AE117" s="24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EE117" s="59"/>
      <c r="EF117" s="62" t="s">
        <v>523</v>
      </c>
    </row>
    <row r="118" spans="2:136" ht="12.75">
      <c r="B118" s="46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46"/>
      <c r="S118" s="48"/>
      <c r="AD118" s="15"/>
      <c r="AE118" s="24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EE118" s="59"/>
      <c r="EF118" s="62" t="s">
        <v>524</v>
      </c>
    </row>
    <row r="119" spans="2:136" ht="12.75">
      <c r="B119" s="46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46"/>
      <c r="S119" s="48"/>
      <c r="W119" s="7"/>
      <c r="X119" s="7"/>
      <c r="Y119" s="8"/>
      <c r="Z119" s="7"/>
      <c r="AA119" s="8"/>
      <c r="AB119" s="7"/>
      <c r="AC119" s="8"/>
      <c r="AD119" s="15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EE119" s="59"/>
      <c r="EF119" s="62" t="s">
        <v>525</v>
      </c>
    </row>
    <row r="120" spans="2:136" ht="12.75">
      <c r="B120" s="46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46"/>
      <c r="AD120" s="15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EE120" s="59"/>
      <c r="EF120" s="62" t="s">
        <v>526</v>
      </c>
    </row>
    <row r="121" spans="2:136" ht="12.75">
      <c r="B121" s="46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46"/>
      <c r="AD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EE121" s="59"/>
      <c r="EF121" s="62" t="s">
        <v>527</v>
      </c>
    </row>
    <row r="122" spans="2:136" ht="12.75">
      <c r="B122" s="46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46"/>
      <c r="AD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EE122" s="59"/>
      <c r="EF122" s="62" t="s">
        <v>528</v>
      </c>
    </row>
    <row r="123" spans="2:136" ht="12.75">
      <c r="B123" s="46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46"/>
      <c r="AD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EE123" s="59"/>
      <c r="EF123" s="62" t="s">
        <v>529</v>
      </c>
    </row>
    <row r="124" spans="2:136" ht="12.75">
      <c r="B124" s="46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46"/>
      <c r="T124" s="7"/>
      <c r="U124" s="7"/>
      <c r="V124" s="52"/>
      <c r="W124" s="7"/>
      <c r="X124" s="7"/>
      <c r="Y124" s="8"/>
      <c r="Z124" s="7"/>
      <c r="AA124" s="8"/>
      <c r="AB124" s="7"/>
      <c r="AC124" s="8"/>
      <c r="AD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EE124" s="59"/>
      <c r="EF124" s="62" t="s">
        <v>530</v>
      </c>
    </row>
    <row r="125" spans="2:136" ht="12.75">
      <c r="B125" s="4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6"/>
      <c r="AD125" s="24"/>
      <c r="EE125" s="59"/>
      <c r="EF125" s="62" t="s">
        <v>531</v>
      </c>
    </row>
    <row r="126" spans="2:136" ht="12.75">
      <c r="B126" s="4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6"/>
      <c r="AD126" s="24"/>
      <c r="EE126" s="59"/>
      <c r="EF126" s="62" t="s">
        <v>532</v>
      </c>
    </row>
    <row r="127" spans="2:136" ht="12.75">
      <c r="B127" s="46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46"/>
      <c r="AD127" s="24"/>
      <c r="EE127" s="59"/>
      <c r="EF127" s="62" t="s">
        <v>533</v>
      </c>
    </row>
    <row r="128" spans="2:136" ht="12.75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AD128" s="24"/>
      <c r="EE128" s="59"/>
      <c r="EF128" s="62" t="s">
        <v>534</v>
      </c>
    </row>
    <row r="129" spans="3:136" ht="12.75"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T129" s="7"/>
      <c r="U129" s="7"/>
      <c r="V129" s="52"/>
      <c r="W129" s="7"/>
      <c r="X129" s="7"/>
      <c r="Y129" s="8"/>
      <c r="Z129" s="7"/>
      <c r="AA129" s="8"/>
      <c r="AB129" s="7"/>
      <c r="AC129" s="8"/>
      <c r="AD129" s="24"/>
      <c r="EE129" s="59"/>
      <c r="EF129" s="62" t="s">
        <v>535</v>
      </c>
    </row>
    <row r="130" spans="3:136" ht="12.75"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T130" s="8"/>
      <c r="U130" s="8"/>
      <c r="X130" s="8"/>
      <c r="Z130" s="8"/>
      <c r="AA130" s="15"/>
      <c r="AB130" s="8"/>
      <c r="AD130" s="24"/>
      <c r="EE130" s="59"/>
      <c r="EF130" s="62" t="s">
        <v>536</v>
      </c>
    </row>
    <row r="131" spans="3:136" ht="12.75"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T131" s="7"/>
      <c r="U131" s="7"/>
      <c r="V131" s="7"/>
      <c r="W131" s="52"/>
      <c r="X131" s="7"/>
      <c r="Z131" s="7"/>
      <c r="AA131" s="15"/>
      <c r="AB131" s="7"/>
      <c r="AD131" s="24"/>
      <c r="EE131" s="59"/>
      <c r="EF131" s="62" t="s">
        <v>537</v>
      </c>
    </row>
    <row r="132" spans="3:136" ht="12.75"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T132" s="7"/>
      <c r="U132" s="7"/>
      <c r="V132" s="7"/>
      <c r="W132" s="52"/>
      <c r="X132" s="7"/>
      <c r="Z132" s="7"/>
      <c r="AA132" s="15"/>
      <c r="AB132" s="7"/>
      <c r="AD132" s="24"/>
      <c r="EE132" s="59"/>
      <c r="EF132" s="62" t="s">
        <v>538</v>
      </c>
    </row>
    <row r="133" spans="3:136" ht="12.75"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T133" s="7"/>
      <c r="U133" s="7"/>
      <c r="V133" s="7"/>
      <c r="W133" s="52"/>
      <c r="X133" s="7"/>
      <c r="Z133" s="7"/>
      <c r="AA133" s="15"/>
      <c r="AB133" s="7"/>
      <c r="AD133" s="24"/>
      <c r="EE133" s="59"/>
      <c r="EF133" s="62" t="s">
        <v>539</v>
      </c>
    </row>
    <row r="134" spans="3:136" ht="12.75"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24"/>
      <c r="EE134" s="59"/>
      <c r="EF134" s="62" t="s">
        <v>540</v>
      </c>
    </row>
    <row r="135" spans="3:136" ht="12.75"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24"/>
      <c r="EE135" s="59"/>
      <c r="EF135" s="62" t="s">
        <v>541</v>
      </c>
    </row>
    <row r="136" spans="3:136" ht="12.75"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24"/>
      <c r="EE136" s="59"/>
      <c r="EF136" s="62" t="s">
        <v>542</v>
      </c>
    </row>
    <row r="137" spans="3:136" ht="12.75"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24"/>
      <c r="EE137" s="59"/>
      <c r="EF137" s="62" t="s">
        <v>543</v>
      </c>
    </row>
    <row r="138" spans="3:136" ht="12.75"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24"/>
      <c r="EE138" s="59"/>
      <c r="EF138" s="62" t="s">
        <v>544</v>
      </c>
    </row>
    <row r="139" spans="3:136" ht="12.75"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24"/>
      <c r="EE139" s="59"/>
      <c r="EF139" s="62" t="s">
        <v>545</v>
      </c>
    </row>
    <row r="140" spans="3:136" ht="12.75"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24"/>
      <c r="EE140" s="59"/>
      <c r="EF140" s="62" t="s">
        <v>546</v>
      </c>
    </row>
    <row r="141" spans="30:136" ht="12.75">
      <c r="AD141" s="24"/>
      <c r="EE141" s="59"/>
      <c r="EF141" s="62" t="s">
        <v>547</v>
      </c>
    </row>
    <row r="142" spans="30:136" ht="12.75">
      <c r="AD142" s="24"/>
      <c r="EE142" s="59"/>
      <c r="EF142" s="62" t="s">
        <v>548</v>
      </c>
    </row>
    <row r="143" spans="30:136" ht="12.75">
      <c r="AD143" s="24"/>
      <c r="EE143" s="59"/>
      <c r="EF143" s="62" t="s">
        <v>549</v>
      </c>
    </row>
    <row r="144" spans="30:136" ht="12.75">
      <c r="AD144" s="24"/>
      <c r="EE144" s="59"/>
      <c r="EF144" s="62" t="s">
        <v>550</v>
      </c>
    </row>
    <row r="145" spans="30:136" ht="12.75">
      <c r="AD145" s="24"/>
      <c r="EE145" s="59"/>
      <c r="EF145" s="62" t="s">
        <v>551</v>
      </c>
    </row>
    <row r="146" spans="30:136" ht="12.75">
      <c r="AD146" s="24"/>
      <c r="EE146" s="59"/>
      <c r="EF146" s="62" t="s">
        <v>552</v>
      </c>
    </row>
    <row r="147" spans="30:136" ht="12.75">
      <c r="AD147" s="24"/>
      <c r="EE147" s="59"/>
      <c r="EF147" s="62" t="s">
        <v>553</v>
      </c>
    </row>
    <row r="148" spans="30:136" ht="12.75">
      <c r="AD148" s="24"/>
      <c r="EE148" s="59"/>
      <c r="EF148" s="62" t="s">
        <v>554</v>
      </c>
    </row>
    <row r="149" spans="30:136" ht="12.75">
      <c r="AD149" s="24"/>
      <c r="EE149" s="59"/>
      <c r="EF149" s="62" t="s">
        <v>555</v>
      </c>
    </row>
    <row r="150" spans="30:136" ht="12.75">
      <c r="AD150" s="24"/>
      <c r="EE150" s="59"/>
      <c r="EF150" s="62" t="s">
        <v>556</v>
      </c>
    </row>
    <row r="151" spans="135:136" ht="12.75">
      <c r="EE151" s="59"/>
      <c r="EF151" s="62" t="s">
        <v>557</v>
      </c>
    </row>
    <row r="152" spans="135:136" ht="12.75">
      <c r="EE152" s="59"/>
      <c r="EF152" s="62" t="s">
        <v>558</v>
      </c>
    </row>
    <row r="153" spans="135:136" ht="12.75">
      <c r="EE153" s="59"/>
      <c r="EF153" s="59"/>
    </row>
    <row r="154" spans="135:136" ht="12.75">
      <c r="EE154" s="59"/>
      <c r="EF154" s="59"/>
    </row>
    <row r="155" spans="135:136" ht="12.75">
      <c r="EE155" s="59"/>
      <c r="EF155" s="59"/>
    </row>
    <row r="156" spans="135:136" ht="12.75">
      <c r="EE156" s="59"/>
      <c r="EF156" s="59"/>
    </row>
    <row r="157" spans="135:136" ht="12.75">
      <c r="EE157" s="59"/>
      <c r="EF157" s="59"/>
    </row>
    <row r="158" spans="135:136" ht="12.75">
      <c r="EE158" s="59"/>
      <c r="EF158" s="59"/>
    </row>
    <row r="159" spans="135:136" ht="12.75">
      <c r="EE159" s="59"/>
      <c r="EF159" s="59"/>
    </row>
    <row r="160" spans="135:136" ht="12.75">
      <c r="EE160" s="59"/>
      <c r="EF160" s="59"/>
    </row>
    <row r="161" spans="135:136" ht="12.75">
      <c r="EE161" s="59"/>
      <c r="EF161" s="59"/>
    </row>
    <row r="162" spans="135:136" ht="12.75">
      <c r="EE162" s="59"/>
      <c r="EF162" s="59"/>
    </row>
    <row r="163" spans="135:136" ht="12.75">
      <c r="EE163" s="59"/>
      <c r="EF163" s="59"/>
    </row>
    <row r="164" spans="135:136" ht="12.75">
      <c r="EE164" s="59"/>
      <c r="EF164" s="59"/>
    </row>
    <row r="165" spans="58:59" ht="12.75">
      <c r="BF165" s="59"/>
      <c r="BG165" s="59"/>
    </row>
  </sheetData>
  <sheetProtection password="ECEE" sheet="1" objects="1" scenarios="1"/>
  <mergeCells count="22">
    <mergeCell ref="AF8:AK9"/>
    <mergeCell ref="AS11:BE11"/>
    <mergeCell ref="BF11:BJ11"/>
    <mergeCell ref="AG10:AP10"/>
    <mergeCell ref="AF11:AR11"/>
    <mergeCell ref="AS8:AX9"/>
    <mergeCell ref="A11:N11"/>
    <mergeCell ref="O11:AE11"/>
    <mergeCell ref="H77:J77"/>
    <mergeCell ref="H58:J58"/>
    <mergeCell ref="H39:J39"/>
    <mergeCell ref="H20:J20"/>
    <mergeCell ref="AF5:AN6"/>
    <mergeCell ref="AS2:BC3"/>
    <mergeCell ref="AS5:BA6"/>
    <mergeCell ref="S5:AA6"/>
    <mergeCell ref="S2:AC3"/>
    <mergeCell ref="AF2:AP3"/>
    <mergeCell ref="S8:X9"/>
    <mergeCell ref="C8:L8"/>
    <mergeCell ref="I3:L3"/>
    <mergeCell ref="I5:L5"/>
  </mergeCells>
  <conditionalFormatting sqref="G22:G23 G25:G26 G28:G29 G41:G42 G44:G45 G47:G48 G79:G80 G60:G61 G82:G83 G63:G64 G85:G86 G66:G67">
    <cfRule type="expression" priority="1" dxfId="0" stopIfTrue="1">
      <formula>AND(ISNUMBER(H22),ISNUMBER(J22),H22&gt;J22)</formula>
    </cfRule>
  </conditionalFormatting>
  <conditionalFormatting sqref="L22:L23 L25:L26 L28:L29 L41:L42 L44:L45 L47:L48 L79:L80 L60:L61 L82:L83 L63:L64 L85:L86 L66:L67">
    <cfRule type="expression" priority="2" dxfId="0" stopIfTrue="1">
      <formula>AND(ISNUMBER(H22),ISNUMBER(J22),H22&lt;J22)</formula>
    </cfRule>
  </conditionalFormatting>
  <conditionalFormatting sqref="AX61">
    <cfRule type="expression" priority="3" dxfId="1" stopIfTrue="1">
      <formula>AND(ISNUMBER(BA60),ISNUMBER(BD55),BA60&gt;BD55)</formula>
    </cfRule>
  </conditionalFormatting>
  <conditionalFormatting sqref="T35:U35 T75:U75 T15:U15 T55:U55">
    <cfRule type="expression" priority="4" dxfId="1" stopIfTrue="1">
      <formula>AND(ISNUMBER(W15),ISNUMBER(W25),W15&gt;W25)</formula>
    </cfRule>
  </conditionalFormatting>
  <conditionalFormatting sqref="T45:U45 T85:U85 T25:U25 T65:U65">
    <cfRule type="expression" priority="5" dxfId="1" stopIfTrue="1">
      <formula>AND(ISNUMBER(W15),ISNUMBER(W25),W25&gt;W15)</formula>
    </cfRule>
  </conditionalFormatting>
  <conditionalFormatting sqref="AG20:AH20 AG60:AH60">
    <cfRule type="expression" priority="6" dxfId="1" stopIfTrue="1">
      <formula>AND(ISNUMBER(AJ20),ISNUMBER(AJ40),AJ20&gt;AJ40)</formula>
    </cfRule>
  </conditionalFormatting>
  <conditionalFormatting sqref="AG40:AH40 AG80:AH80">
    <cfRule type="expression" priority="7" dxfId="1" stopIfTrue="1">
      <formula>AND(ISNUMBER(AJ20),ISNUMBER(AJ40),AJ40&gt;AJ20)</formula>
    </cfRule>
  </conditionalFormatting>
  <conditionalFormatting sqref="AT30:AU30">
    <cfRule type="expression" priority="8" dxfId="1" stopIfTrue="1">
      <formula>AND(ISNUMBER(AW30),ISNUMBER(AW70),AW30&gt;AW70)</formula>
    </cfRule>
  </conditionalFormatting>
  <conditionalFormatting sqref="AT70:AU70">
    <cfRule type="expression" priority="9" dxfId="1" stopIfTrue="1">
      <formula>AND(ISNUMBER(AW30),ISNUMBER(AW70),AW70&gt;AW30)</formula>
    </cfRule>
  </conditionalFormatting>
  <conditionalFormatting sqref="AZ61 BB61">
    <cfRule type="expression" priority="10" dxfId="1" stopIfTrue="1">
      <formula>AND(ISNUMBER(BD60),ISNUMBER(BF55),BD60&gt;BF55)</formula>
    </cfRule>
  </conditionalFormatting>
  <conditionalFormatting sqref="AG88">
    <cfRule type="expression" priority="11" dxfId="1" stopIfTrue="1">
      <formula>AND(ISNUMBER(AN100),ISNUMBER(#REF!),#REF!&gt;AN100)</formula>
    </cfRule>
  </conditionalFormatting>
  <conditionalFormatting sqref="AH88">
    <cfRule type="expression" priority="12" dxfId="1" stopIfTrue="1">
      <formula>AND(ISNUMBER(AP100),ISNUMBER(#REF!),#REF!&gt;AP100)</formula>
    </cfRule>
  </conditionalFormatting>
  <conditionalFormatting sqref="AG87">
    <cfRule type="expression" priority="13" dxfId="1" stopIfTrue="1">
      <formula>AND(ISNUMBER(AN100),ISNUMBER(#REF!),#REF!&gt;AN100)</formula>
    </cfRule>
  </conditionalFormatting>
  <conditionalFormatting sqref="AH87">
    <cfRule type="expression" priority="14" dxfId="1" stopIfTrue="1">
      <formula>AND(ISNUMBER(AP100),ISNUMBER(#REF!),#REF!&gt;AP100)</formula>
    </cfRule>
  </conditionalFormatting>
  <conditionalFormatting sqref="AG86">
    <cfRule type="expression" priority="15" dxfId="1" stopIfTrue="1">
      <formula>AND(ISNUMBER(AN100),ISNUMBER(#REF!),#REF!&gt;AN100)</formula>
    </cfRule>
  </conditionalFormatting>
  <conditionalFormatting sqref="AH86">
    <cfRule type="expression" priority="16" dxfId="1" stopIfTrue="1">
      <formula>AND(ISNUMBER(AP100),ISNUMBER(#REF!),#REF!&gt;AP100)</formula>
    </cfRule>
  </conditionalFormatting>
  <conditionalFormatting sqref="AG85">
    <cfRule type="expression" priority="17" dxfId="1" stopIfTrue="1">
      <formula>AND(ISNUMBER(AN100),ISNUMBER(#REF!),#REF!&gt;AN100)</formula>
    </cfRule>
  </conditionalFormatting>
  <conditionalFormatting sqref="AH85">
    <cfRule type="expression" priority="18" dxfId="1" stopIfTrue="1">
      <formula>AND(ISNUMBER(AP100),ISNUMBER(#REF!),#REF!&gt;AP100)</formula>
    </cfRule>
  </conditionalFormatting>
  <conditionalFormatting sqref="AG84">
    <cfRule type="expression" priority="19" dxfId="1" stopIfTrue="1">
      <formula>AND(ISNUMBER(AN100),ISNUMBER(#REF!),#REF!&gt;AN100)</formula>
    </cfRule>
  </conditionalFormatting>
  <conditionalFormatting sqref="AH84">
    <cfRule type="expression" priority="20" dxfId="1" stopIfTrue="1">
      <formula>AND(ISNUMBER(AP100),ISNUMBER(#REF!),#REF!&gt;AP100)</formula>
    </cfRule>
  </conditionalFormatting>
  <conditionalFormatting sqref="AG83">
    <cfRule type="expression" priority="21" dxfId="1" stopIfTrue="1">
      <formula>AND(ISNUMBER(AN100),ISNUMBER(#REF!),#REF!&gt;AN100)</formula>
    </cfRule>
  </conditionalFormatting>
  <conditionalFormatting sqref="AH83">
    <cfRule type="expression" priority="22" dxfId="1" stopIfTrue="1">
      <formula>AND(ISNUMBER(AP100),ISNUMBER(#REF!),#REF!&gt;AP100)</formula>
    </cfRule>
  </conditionalFormatting>
  <conditionalFormatting sqref="AG82">
    <cfRule type="expression" priority="23" dxfId="1" stopIfTrue="1">
      <formula>AND(ISNUMBER(AN100),ISNUMBER(#REF!),#REF!&gt;AN100)</formula>
    </cfRule>
  </conditionalFormatting>
  <conditionalFormatting sqref="AH82">
    <cfRule type="expression" priority="24" dxfId="1" stopIfTrue="1">
      <formula>AND(ISNUMBER(AP100),ISNUMBER(#REF!),#REF!&gt;AP100)</formula>
    </cfRule>
  </conditionalFormatting>
  <conditionalFormatting sqref="AG81">
    <cfRule type="expression" priority="25" dxfId="1" stopIfTrue="1">
      <formula>AND(ISNUMBER(AN100),ISNUMBER(#REF!),#REF!&gt;AN100)</formula>
    </cfRule>
  </conditionalFormatting>
  <conditionalFormatting sqref="AH81">
    <cfRule type="expression" priority="26" dxfId="1" stopIfTrue="1">
      <formula>AND(ISNUMBER(AP100),ISNUMBER(#REF!),#REF!&gt;AP100)</formula>
    </cfRule>
  </conditionalFormatting>
  <conditionalFormatting sqref="AG79">
    <cfRule type="expression" priority="27" dxfId="1" stopIfTrue="1">
      <formula>AND(ISNUMBER(AN100),ISNUMBER(#REF!),#REF!&gt;AN100)</formula>
    </cfRule>
  </conditionalFormatting>
  <conditionalFormatting sqref="AH79">
    <cfRule type="expression" priority="28" dxfId="1" stopIfTrue="1">
      <formula>AND(ISNUMBER(AP100),ISNUMBER(#REF!),#REF!&gt;AP100)</formula>
    </cfRule>
  </conditionalFormatting>
  <conditionalFormatting sqref="AG78">
    <cfRule type="expression" priority="29" dxfId="1" stopIfTrue="1">
      <formula>AND(ISNUMBER(AN100),ISNUMBER(#REF!),#REF!&gt;AN100)</formula>
    </cfRule>
  </conditionalFormatting>
  <conditionalFormatting sqref="AH78">
    <cfRule type="expression" priority="30" dxfId="1" stopIfTrue="1">
      <formula>AND(ISNUMBER(AP100),ISNUMBER(#REF!),#REF!&gt;AP100)</formula>
    </cfRule>
  </conditionalFormatting>
  <conditionalFormatting sqref="AG77">
    <cfRule type="expression" priority="31" dxfId="1" stopIfTrue="1">
      <formula>AND(ISNUMBER(AN100),ISNUMBER(#REF!),#REF!&gt;AN100)</formula>
    </cfRule>
  </conditionalFormatting>
  <conditionalFormatting sqref="AH77">
    <cfRule type="expression" priority="32" dxfId="1" stopIfTrue="1">
      <formula>AND(ISNUMBER(AP100),ISNUMBER(#REF!),#REF!&gt;AP100)</formula>
    </cfRule>
  </conditionalFormatting>
  <conditionalFormatting sqref="AG76">
    <cfRule type="expression" priority="33" dxfId="1" stopIfTrue="1">
      <formula>AND(ISNUMBER(AN100),ISNUMBER(#REF!),#REF!&gt;AN100)</formula>
    </cfRule>
  </conditionalFormatting>
  <conditionalFormatting sqref="AH76">
    <cfRule type="expression" priority="34" dxfId="1" stopIfTrue="1">
      <formula>AND(ISNUMBER(AP100),ISNUMBER(#REF!),#REF!&gt;AP100)</formula>
    </cfRule>
  </conditionalFormatting>
  <conditionalFormatting sqref="AG75">
    <cfRule type="expression" priority="35" dxfId="1" stopIfTrue="1">
      <formula>AND(ISNUMBER(AN100),ISNUMBER(#REF!),#REF!&gt;AN100)</formula>
    </cfRule>
  </conditionalFormatting>
  <conditionalFormatting sqref="AH75">
    <cfRule type="expression" priority="36" dxfId="1" stopIfTrue="1">
      <formula>AND(ISNUMBER(AP100),ISNUMBER(#REF!),#REF!&gt;AP100)</formula>
    </cfRule>
  </conditionalFormatting>
  <conditionalFormatting sqref="AG74">
    <cfRule type="expression" priority="37" dxfId="1" stopIfTrue="1">
      <formula>AND(ISNUMBER(AN100),ISNUMBER(#REF!),#REF!&gt;AN100)</formula>
    </cfRule>
  </conditionalFormatting>
  <conditionalFormatting sqref="AH74">
    <cfRule type="expression" priority="38" dxfId="1" stopIfTrue="1">
      <formula>AND(ISNUMBER(AP100),ISNUMBER(#REF!),#REF!&gt;AP100)</formula>
    </cfRule>
  </conditionalFormatting>
  <conditionalFormatting sqref="BC70 J25:J26 AP40 AP20 AP80 BC30 AC65 AC55 AC45 AC25 AC15 AC75 AC35 AA75 AA15 AA25 AA45 AA55 AA65 AA85 AC85 Y85 Y65 Y55 Y45 Y25 Y15 Y75 Y35 AA35 J22:J23 H85:H86 J85:J86 H82:H83 J82:J83 H79:H80 J79:J80 H60:H61 H63:H64 H66:H67 J60:J61 J63:J64 J66:J67 H41:H42 H44:H45 H47:H48 J41:J42 J44:J45 J47:J48 H28:H29 H25:H26 H22:H23 J28:J29 AY30 AY70 BA70 BA30 AL20 AL40 AL60 AL80 AN80 AN20 AN40 AN60 AP60">
    <cfRule type="expression" priority="39" dxfId="2" stopIfTrue="1">
      <formula>ISBLANK(H15)</formula>
    </cfRule>
  </conditionalFormatting>
  <conditionalFormatting sqref="G72:G73">
    <cfRule type="expression" priority="40" dxfId="1" stopIfTrue="1">
      <formula>$H$72+$H$73+$H$74+$H$75=12</formula>
    </cfRule>
  </conditionalFormatting>
  <conditionalFormatting sqref="G53:G54">
    <cfRule type="expression" priority="41" dxfId="1" stopIfTrue="1">
      <formula>$H$53+$H$54+$H$55+$H$56=12</formula>
    </cfRule>
  </conditionalFormatting>
  <conditionalFormatting sqref="G34:G35">
    <cfRule type="expression" priority="42" dxfId="1" stopIfTrue="1">
      <formula>$H$34+$H$35+$H$36+$H$37=12</formula>
    </cfRule>
  </conditionalFormatting>
  <conditionalFormatting sqref="G15:G16">
    <cfRule type="expression" priority="43" dxfId="1" stopIfTrue="1">
      <formula>$H$15+$H$16+$H$17+$H$18=12</formula>
    </cfRule>
  </conditionalFormatting>
  <dataValidations count="2">
    <dataValidation type="list" allowBlank="1" showInputMessage="1" showErrorMessage="1" sqref="I3">
      <formula1>$EE$14:$EE$40</formula1>
    </dataValidation>
    <dataValidation type="list" allowBlank="1" showInputMessage="1" showErrorMessage="1" sqref="I5">
      <formula1>$EF$14:$EF$152</formula1>
    </dataValidation>
  </dataValidations>
  <hyperlinks>
    <hyperlink ref="C8:L8" r:id="rId1" display="VISIT WWW.EXCELTEMPLATE.NET FOR MORE TEMPLATES AND UPDATES"/>
  </hyperlinks>
  <printOptions horizontalCentered="1" verticalCentered="1"/>
  <pageMargins left="0.39" right="0.32" top="0.78" bottom="0.82" header="0.5" footer="0.69"/>
  <pageSetup fitToHeight="1" fitToWidth="1" horizontalDpi="300" verticalDpi="300" orientation="landscape" paperSize="9" scale="41" r:id="rId3"/>
  <headerFooter alignWithMargins="0">
    <oddHeader>&amp;C&amp;"Verdana,Bold"&amp;18
UEFA EURO 2008 MATCH SCHEDULE AND SCORESHEET</oddHeader>
    <oddFooter>&amp;C
copyright (c) exceltemplate.net 2008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showGridLines="0" workbookViewId="0" topLeftCell="H1">
      <selection activeCell="L3" sqref="L3"/>
    </sheetView>
  </sheetViews>
  <sheetFormatPr defaultColWidth="9.140625" defaultRowHeight="12.75"/>
  <cols>
    <col min="1" max="1" width="5.28125" style="2" customWidth="1"/>
    <col min="2" max="2" width="9.421875" style="2" bestFit="1" customWidth="1"/>
    <col min="3" max="3" width="3.28125" style="2" bestFit="1" customWidth="1"/>
    <col min="4" max="4" width="2.7109375" style="2" bestFit="1" customWidth="1"/>
    <col min="5" max="5" width="2.421875" style="2" bestFit="1" customWidth="1"/>
    <col min="6" max="7" width="3.28125" style="2" bestFit="1" customWidth="1"/>
    <col min="8" max="8" width="4.7109375" style="2" bestFit="1" customWidth="1"/>
    <col min="9" max="9" width="3.421875" style="2" bestFit="1" customWidth="1"/>
    <col min="10" max="10" width="9.140625" style="2" customWidth="1"/>
    <col min="11" max="11" width="9.00390625" style="2" bestFit="1" customWidth="1"/>
    <col min="12" max="12" width="10.28125" style="2" bestFit="1" customWidth="1"/>
    <col min="13" max="13" width="8.140625" style="2" bestFit="1" customWidth="1"/>
    <col min="14" max="14" width="11.57421875" style="2" bestFit="1" customWidth="1"/>
    <col min="15" max="15" width="5.421875" style="2" bestFit="1" customWidth="1"/>
    <col min="16" max="16" width="9.8515625" style="2" bestFit="1" customWidth="1"/>
    <col min="17" max="17" width="3.28125" style="2" bestFit="1" customWidth="1"/>
    <col min="18" max="18" width="4.7109375" style="2" bestFit="1" customWidth="1"/>
    <col min="19" max="19" width="2.421875" style="2" bestFit="1" customWidth="1"/>
    <col min="20" max="20" width="2.57421875" style="2" bestFit="1" customWidth="1"/>
    <col min="21" max="21" width="2.7109375" style="2" bestFit="1" customWidth="1"/>
    <col min="22" max="22" width="4.7109375" style="2" bestFit="1" customWidth="1"/>
    <col min="23" max="23" width="9.140625" style="2" customWidth="1"/>
    <col min="24" max="24" width="6.57421875" style="2" customWidth="1"/>
    <col min="25" max="25" width="9.140625" style="2" customWidth="1"/>
    <col min="26" max="26" width="3.28125" style="2" bestFit="1" customWidth="1"/>
    <col min="27" max="27" width="2.7109375" style="2" bestFit="1" customWidth="1"/>
    <col min="28" max="28" width="2.421875" style="2" bestFit="1" customWidth="1"/>
    <col min="29" max="29" width="2.57421875" style="2" bestFit="1" customWidth="1"/>
    <col min="30" max="30" width="2.7109375" style="2" bestFit="1" customWidth="1"/>
    <col min="31" max="31" width="4.7109375" style="2" bestFit="1" customWidth="1"/>
    <col min="32" max="32" width="3.421875" style="2" bestFit="1" customWidth="1"/>
    <col min="33" max="33" width="9.00390625" style="2" bestFit="1" customWidth="1"/>
    <col min="34" max="34" width="10.28125" style="2" bestFit="1" customWidth="1"/>
    <col min="35" max="36" width="9.140625" style="2" customWidth="1"/>
    <col min="37" max="37" width="10.00390625" style="2" bestFit="1" customWidth="1"/>
    <col min="38" max="38" width="11.57421875" style="2" bestFit="1" customWidth="1"/>
    <col min="39" max="39" width="9.140625" style="2" customWidth="1"/>
    <col min="40" max="40" width="8.8515625" style="2" bestFit="1" customWidth="1"/>
    <col min="41" max="41" width="10.140625" style="2" bestFit="1" customWidth="1"/>
    <col min="42" max="42" width="9.7109375" style="2" bestFit="1" customWidth="1"/>
    <col min="43" max="43" width="9.7109375" style="2" customWidth="1"/>
    <col min="44" max="44" width="9.8515625" style="2" bestFit="1" customWidth="1"/>
    <col min="45" max="45" width="11.140625" style="2" bestFit="1" customWidth="1"/>
    <col min="46" max="46" width="10.7109375" style="2" bestFit="1" customWidth="1"/>
    <col min="47" max="47" width="10.7109375" style="2" customWidth="1"/>
    <col min="48" max="16384" width="9.140625" style="2" customWidth="1"/>
  </cols>
  <sheetData>
    <row r="1" spans="1:55" ht="12.75">
      <c r="A1" s="29" t="s">
        <v>567</v>
      </c>
      <c r="B1" s="29"/>
      <c r="C1" s="29"/>
      <c r="D1" s="29"/>
      <c r="E1" s="29"/>
      <c r="F1" s="29"/>
      <c r="G1" s="29"/>
      <c r="H1" s="29"/>
      <c r="P1" s="29"/>
      <c r="Q1" s="29"/>
      <c r="R1" s="29"/>
      <c r="S1" s="29"/>
      <c r="T1" s="29"/>
      <c r="U1" s="29"/>
      <c r="V1" s="29"/>
      <c r="W1" s="29"/>
      <c r="X1" s="29" t="s">
        <v>568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M1" s="29" t="s">
        <v>569</v>
      </c>
      <c r="AW1" s="29" t="s">
        <v>570</v>
      </c>
      <c r="BC1" s="29" t="s">
        <v>580</v>
      </c>
    </row>
    <row r="2" spans="1:55" ht="12.75">
      <c r="A2" s="29" t="s">
        <v>577</v>
      </c>
      <c r="B2" s="29" t="s">
        <v>20</v>
      </c>
      <c r="C2" s="29" t="s">
        <v>21</v>
      </c>
      <c r="D2" s="29" t="s">
        <v>22</v>
      </c>
      <c r="E2" s="29" t="s">
        <v>23</v>
      </c>
      <c r="F2" s="29" t="s">
        <v>28</v>
      </c>
      <c r="G2" s="29" t="s">
        <v>29</v>
      </c>
      <c r="H2" s="29" t="s">
        <v>566</v>
      </c>
      <c r="I2" s="29" t="s">
        <v>417</v>
      </c>
      <c r="J2" s="29" t="s">
        <v>562</v>
      </c>
      <c r="K2" s="29" t="s">
        <v>563</v>
      </c>
      <c r="L2" s="29" t="s">
        <v>565</v>
      </c>
      <c r="M2" s="29" t="s">
        <v>564</v>
      </c>
      <c r="N2" s="29" t="s">
        <v>575</v>
      </c>
      <c r="O2" s="29" t="s">
        <v>578</v>
      </c>
      <c r="P2" s="29" t="s">
        <v>579</v>
      </c>
      <c r="Q2" s="29" t="s">
        <v>28</v>
      </c>
      <c r="R2" s="29" t="s">
        <v>566</v>
      </c>
      <c r="S2" s="29" t="s">
        <v>417</v>
      </c>
      <c r="T2" s="29" t="s">
        <v>563</v>
      </c>
      <c r="U2" s="29" t="s">
        <v>565</v>
      </c>
      <c r="V2" s="29" t="s">
        <v>564</v>
      </c>
      <c r="W2" s="29" t="s">
        <v>576</v>
      </c>
      <c r="X2" s="29" t="s">
        <v>578</v>
      </c>
      <c r="Y2" s="29"/>
      <c r="Z2" s="29" t="s">
        <v>21</v>
      </c>
      <c r="AA2" s="29" t="s">
        <v>22</v>
      </c>
      <c r="AB2" s="29" t="s">
        <v>23</v>
      </c>
      <c r="AC2" s="29" t="s">
        <v>28</v>
      </c>
      <c r="AD2" s="29" t="s">
        <v>29</v>
      </c>
      <c r="AE2" s="29" t="s">
        <v>566</v>
      </c>
      <c r="AF2" s="29" t="s">
        <v>417</v>
      </c>
      <c r="AG2" s="29" t="s">
        <v>563</v>
      </c>
      <c r="AH2" s="29" t="s">
        <v>565</v>
      </c>
      <c r="AI2" s="29" t="s">
        <v>564</v>
      </c>
      <c r="AJ2" s="29" t="s">
        <v>573</v>
      </c>
      <c r="AK2" s="29" t="s">
        <v>574</v>
      </c>
      <c r="AL2" s="29" t="s">
        <v>575</v>
      </c>
      <c r="AM2" s="29"/>
      <c r="AN2" s="29" t="s">
        <v>31</v>
      </c>
      <c r="AO2" s="29" t="s">
        <v>34</v>
      </c>
      <c r="AP2" s="29" t="s">
        <v>35</v>
      </c>
      <c r="AQ2" s="29" t="s">
        <v>571</v>
      </c>
      <c r="AR2" s="29" t="s">
        <v>32</v>
      </c>
      <c r="AS2" s="29" t="s">
        <v>36</v>
      </c>
      <c r="AT2" s="29" t="s">
        <v>37</v>
      </c>
      <c r="AU2" s="29" t="s">
        <v>572</v>
      </c>
      <c r="AV2" s="29" t="s">
        <v>33</v>
      </c>
      <c r="AW2" s="29" t="s">
        <v>31</v>
      </c>
      <c r="AX2" s="29" t="s">
        <v>34</v>
      </c>
      <c r="AY2" s="29" t="s">
        <v>35</v>
      </c>
      <c r="AZ2" s="29" t="s">
        <v>32</v>
      </c>
      <c r="BA2" s="29" t="s">
        <v>36</v>
      </c>
      <c r="BB2" s="29" t="s">
        <v>37</v>
      </c>
      <c r="BC2" s="29" t="s">
        <v>581</v>
      </c>
    </row>
    <row r="3" spans="9:59" ht="12.75">
      <c r="I3" s="29"/>
      <c r="K3" s="29"/>
      <c r="L3" s="29"/>
      <c r="M3" s="29"/>
      <c r="N3" s="29"/>
      <c r="AM3" s="29"/>
      <c r="BC3" s="2">
        <v>1</v>
      </c>
      <c r="BD3" s="2" t="str">
        <f>'Euro 2008 Schedule'!G22</f>
        <v>Switzerland</v>
      </c>
      <c r="BE3" s="2">
        <f>IF(AND('Euro 2008 Schedule'!H22&lt;&gt;"",'Euro 2008 Schedule'!J22&lt;&gt;""),'Euro 2008 Schedule'!H22,"")</f>
      </c>
      <c r="BF3" s="2">
        <f>IF(AND('Euro 2008 Schedule'!J22&lt;&gt;"",'Euro 2008 Schedule'!H22&lt;&gt;""),'Euro 2008 Schedule'!J22,"")</f>
      </c>
      <c r="BG3" s="2" t="str">
        <f>'Euro 2008 Schedule'!L22</f>
        <v>Czech Republic</v>
      </c>
    </row>
    <row r="4" spans="1:59" ht="12.75">
      <c r="A4" s="2">
        <f>K4+L4+M4+N4</f>
        <v>1</v>
      </c>
      <c r="B4" s="2" t="str">
        <f>'Euro 2008 Schedule'!L22</f>
        <v>Czech Republic</v>
      </c>
      <c r="C4" s="2">
        <f>SUMIF(AN$4:AN$27,B4,AV$4:AV$27)+SUMIF(AR$4:AR$27,B4,AV$4:AV$27)</f>
        <v>0</v>
      </c>
      <c r="D4" s="2">
        <f>SUMIF(AO$4:AO$27,B4,AV$4:AV$27)+SUMIF(AS$4:AS$27,B4,AV$4:AV$27)</f>
        <v>0</v>
      </c>
      <c r="E4" s="2">
        <f>SUMIF(AP$4:AP$27,B4,AV$4:AV$27)+SUMIF(AT$4:AT$27,B4,AV$4:AV$27)</f>
        <v>0</v>
      </c>
      <c r="F4" s="2">
        <f>SUMIF($BD$3:$BD$26,B4,$BE$3:$BE$26)+SUMIF($BG$3:$BG$26,B4,$BF$3:$BF$26)</f>
        <v>0</v>
      </c>
      <c r="G4" s="2">
        <f>SUMIF($BG$3:$BG$26,B4,$BE$3:$BE$26)+SUMIF($BD$3:$BD$26,B4,$BF$3:$BF$26)</f>
        <v>0</v>
      </c>
      <c r="H4" s="2">
        <f>F4-G4+100</f>
        <v>100</v>
      </c>
      <c r="I4" s="29">
        <f>C4*3+D4</f>
        <v>0</v>
      </c>
      <c r="J4" s="2">
        <v>2333</v>
      </c>
      <c r="K4" s="2">
        <f>RANK(I4,I$4:I$7)</f>
        <v>1</v>
      </c>
      <c r="L4" s="2">
        <f>SUMPRODUCT((I$4:I$7=I4)*(H$4:H$7&gt;H4))</f>
        <v>0</v>
      </c>
      <c r="M4" s="2">
        <f>SUMPRODUCT((I$4:I$7=I4)*(H$4:H$7=H4)*(F$4:F$7&gt;F4))</f>
        <v>0</v>
      </c>
      <c r="N4" s="2">
        <f>SUMPRODUCT((I$4:I$7=I4)*(H$4:H$7=H4)*(F$4:F$7=F4)*(J$4:J$7&gt;J4))</f>
        <v>0</v>
      </c>
      <c r="O4" s="2">
        <f>X4</f>
        <v>1</v>
      </c>
      <c r="P4" s="2" t="str">
        <f>VLOOKUP(1,A$4:B$7,2,FALSE)</f>
        <v>Czech Republic</v>
      </c>
      <c r="Q4" s="2">
        <f>SUMIF(B$4:B$28,P4,F$4:F$28)</f>
        <v>0</v>
      </c>
      <c r="R4" s="2">
        <f>SUMIF(B$4:B$28,P4,H$4:H$28)</f>
        <v>100</v>
      </c>
      <c r="S4" s="29">
        <f>SUMIF($B$4:$B$28,$P4,I$4:I$28)</f>
        <v>0</v>
      </c>
      <c r="T4" s="2">
        <f aca="true" t="shared" si="0" ref="T4:V7">SUMIF($B$4:$B$28,$P4,K$4:K$28)</f>
        <v>1</v>
      </c>
      <c r="U4" s="2">
        <f t="shared" si="0"/>
        <v>0</v>
      </c>
      <c r="V4" s="2">
        <f t="shared" si="0"/>
        <v>0</v>
      </c>
      <c r="W4" s="2">
        <f>SUMIF($B$4:$B$28,$P4,J$4:J$28)</f>
        <v>2333</v>
      </c>
      <c r="X4" s="2">
        <f>IF(Y4=0,T4,T4+AG4+AH4+AI4+AJ4+AK4+AL4)</f>
        <v>1</v>
      </c>
      <c r="Y4" s="2" t="str">
        <f>IF(COUNTIF(S$4:S$7,S4)=1,0,P4)</f>
        <v>Czech Republic</v>
      </c>
      <c r="Z4" s="2">
        <f>SUMIF($AW$4:$AW$27,$Y4,$AV$4:$AV$27)+SUMIF($AZ$4:$AZ$27,$Y4,$AV$4:$AV$27)</f>
        <v>0</v>
      </c>
      <c r="AA4" s="2">
        <f>SUMIF($AX$4:$AX$27,$Y4,$AV$4:$AV$27)+SUMIF($BA$4:$BA$27,$Y4,$AV$4:$AV$27)</f>
        <v>0</v>
      </c>
      <c r="AB4" s="2">
        <f>SUMIF($AY$4:$AY$27,$Y4,$AV$4:$AV$27)+SUMIF($BB$4:$BB$27,$Y4,$AV$4:$AV$27)</f>
        <v>0</v>
      </c>
      <c r="AC4" s="2">
        <f>SUMIF(AW$4:AW$27,Y4,AQ$4:AQ$27)+SUMIF(AZ$4:AZ$27,Y4,AU$4:AU$27)+SUMIF(AX$4:AX$27,Y4,AQ$4:AQ$27)+SUMIF(BA$4:BA$27,Y4,AU$4:AU$27)</f>
        <v>0</v>
      </c>
      <c r="AD4" s="2">
        <f>SUMIF(AY$4:AY$27,Y4,AQ$4:AQ$27)+SUMIF(BB$4:BB$27,Y4,AU$4:AU$27)+SUMIF(AX$4:AX$27,Y4,AQ$4:AQ$27)+SUMIF(BA$4:BA$27,Y4,AU$4:AU$27)</f>
        <v>0</v>
      </c>
      <c r="AE4" s="2">
        <f>AC4-AD4+100</f>
        <v>100</v>
      </c>
      <c r="AF4" s="29">
        <f>IF(Y4&lt;&gt;0,Z4*3+AA4,"")</f>
        <v>0</v>
      </c>
      <c r="AG4" s="2">
        <f>IF(Y4&lt;&gt;0,RANK(AF4,AF$4:AF$7)-1,5)</f>
        <v>0</v>
      </c>
      <c r="AH4" s="2">
        <f>IF(Y4&lt;&gt;0,SUMPRODUCT((AF$4:AF$7=AF4)*(AE$4:AE$7&gt;AE4)),5)</f>
        <v>0</v>
      </c>
      <c r="AI4" s="2">
        <f>IF(Y4&lt;&gt;0,SUMPRODUCT(($AF$4:$AF$7=AF4)*($AE$4:$AE$7=AE4)*($AC$4:$AC$7&gt;AC4)),5)</f>
        <v>0</v>
      </c>
      <c r="AJ4" s="2">
        <f>IF(Y4&lt;&gt;0,SUMPRODUCT(($AF$4:$AF$7=AF4)*($AE$4:$AE$7=AE4)*($AC$4:$AC$7=AC4)*($R$4:$R$7&gt;R4)),5)</f>
        <v>0</v>
      </c>
      <c r="AK4" s="2">
        <f>IF($Y4&lt;&gt;0,SUMPRODUCT(($AF$4:$AF$7=$AF4)*($AE$4:$AE$7=$AE4)*($AC$4:$AC$7=$AC4)*($R$4:$R$7=$R4)*($Q$4:$Q$7&gt;$Q4)),5)</f>
        <v>0</v>
      </c>
      <c r="AL4" s="2">
        <f>IF($Y4&lt;&gt;0,SUMPRODUCT(($AF$4:$AF$7=$AF4)*($AE$4:$AE$7=$AE4)*($AC$4:$AC$7=$AC4)*($R$4:$R$7=$R4)*($Q$4:$Q$7=$Q4)*($W$4:$W$7&gt;$W4)),5)</f>
        <v>0</v>
      </c>
      <c r="AM4" s="2">
        <v>1</v>
      </c>
      <c r="AN4" s="2">
        <f>IF(AND('Euro 2008 Schedule'!H22&lt;&gt;"",'Euro 2008 Schedule'!J22&lt;&gt;""),IF('Euro 2008 Schedule'!H22&gt;'Euro 2008 Schedule'!J22,'Euro 2008 Schedule'!G22,""),"")</f>
      </c>
      <c r="AO4" s="2">
        <f>IF(AND('Euro 2008 Schedule'!H22&lt;&gt;"",'Euro 2008 Schedule'!J22&lt;&gt;""),IF('Euro 2008 Schedule'!H22='Euro 2008 Schedule'!J22,'Euro 2008 Schedule'!G22,""),"")</f>
      </c>
      <c r="AP4" s="2">
        <f>IF(AND('Euro 2008 Schedule'!H22&lt;&gt;"",'Euro 2008 Schedule'!J22&lt;&gt;""),IF('Euro 2008 Schedule'!H22&gt;'Euro 2008 Schedule'!J22,'Euro 2008 Schedule'!L22,""),"")</f>
      </c>
      <c r="AQ4" s="2">
        <f>IF(AND('Euro 2008 Schedule'!H22&lt;&gt;"",'Euro 2008 Schedule'!J22&lt;&gt;""),'Euro 2008 Schedule'!H22,0)</f>
        <v>0</v>
      </c>
      <c r="AR4" s="2">
        <f>IF(AND('Euro 2008 Schedule'!H22&lt;&gt;"",'Euro 2008 Schedule'!J22&lt;&gt;""),IF('Euro 2008 Schedule'!H22&lt;'Euro 2008 Schedule'!J22,'Euro 2008 Schedule'!L22,""),"")</f>
      </c>
      <c r="AS4" s="2">
        <f>IF(AND('Euro 2008 Schedule'!H22&lt;&gt;"",'Euro 2008 Schedule'!J22&lt;&gt;""),IF('Euro 2008 Schedule'!H22='Euro 2008 Schedule'!J22,'Euro 2008 Schedule'!L22,""),"")</f>
      </c>
      <c r="AT4" s="2">
        <f>IF(AND('Euro 2008 Schedule'!H22&lt;&gt;"",'Euro 2008 Schedule'!J22&lt;&gt;""),IF('Euro 2008 Schedule'!H22&lt;'Euro 2008 Schedule'!J22,'Euro 2008 Schedule'!G22,""),"")</f>
      </c>
      <c r="AU4" s="2">
        <f>IF(AND('Euro 2008 Schedule'!H22&lt;&gt;"",'Euro 2008 Schedule'!J22&lt;&gt;""),'Euro 2008 Schedule'!J22,0)</f>
        <v>0</v>
      </c>
      <c r="AV4" s="2">
        <v>1</v>
      </c>
      <c r="AW4" s="2">
        <f>IF(AND(COUNTIF($Y$4:$Y$28,AN4)=1,COUNTIF($Y$4:$Y$28,AP4)=1),AN4,"")</f>
      </c>
      <c r="AX4" s="2">
        <f>IF(AND(COUNTIF($Y$4:$Y$28,AO4)=1,COUNTIF($Y$4:$Y$28,AS4)=1),AO4,"")</f>
      </c>
      <c r="AY4" s="2">
        <f>IF(AND(COUNTIF($Y$4:$Y$28,AP4)=1,COUNTIF($Y$4:$Y$28,AN4)=1),AP4,"")</f>
      </c>
      <c r="AZ4" s="2">
        <f>IF(AND(COUNTIF($Y$4:$Y$28,AR4)=1,COUNTIF($Y$4:$Y$28,AT4)=1),AR4,"")</f>
      </c>
      <c r="BA4" s="2">
        <f>IF(AND(COUNTIF($Y$4:$Y$28,AS4)=1,COUNTIF($Y$4:$Y$28,AO4)=1),AS4,"")</f>
      </c>
      <c r="BB4" s="2">
        <f aca="true" t="shared" si="1" ref="BB4:BB27">IF(AND(COUNTIF($Y$4:$Y$28,AT4)=1,COUNTIF($Y$4:$Y$28,AR4)=1),AT4,"")</f>
      </c>
      <c r="BC4" s="2">
        <v>2</v>
      </c>
      <c r="BD4" s="2" t="str">
        <f>'Euro 2008 Schedule'!G23</f>
        <v>Portugal</v>
      </c>
      <c r="BE4" s="2">
        <f>IF(AND('Euro 2008 Schedule'!H23&lt;&gt;"",'Euro 2008 Schedule'!J23&lt;&gt;""),'Euro 2008 Schedule'!H23,"")</f>
      </c>
      <c r="BF4" s="2">
        <f>IF(AND('Euro 2008 Schedule'!J23&lt;&gt;"",'Euro 2008 Schedule'!H23&lt;&gt;""),'Euro 2008 Schedule'!J23,"")</f>
      </c>
      <c r="BG4" s="2" t="str">
        <f>'Euro 2008 Schedule'!L23</f>
        <v>Turkey</v>
      </c>
    </row>
    <row r="5" spans="1:59" ht="12.75">
      <c r="A5" s="2">
        <f>K5+L5+M5+N5</f>
        <v>2</v>
      </c>
      <c r="B5" s="2" t="str">
        <f>'Euro 2008 Schedule'!G23</f>
        <v>Portugal</v>
      </c>
      <c r="C5" s="2">
        <f>SUMIF(AN$4:AN$27,B5,AV$4:AV$27)+SUMIF(AR$4:AR$27,B5,AV$4:AV$27)</f>
        <v>0</v>
      </c>
      <c r="D5" s="2">
        <f>SUMIF(AO$4:AO$27,B5,AV$4:AV$27)+SUMIF(AS$4:AS$27,B5,AV$4:AV$27)</f>
        <v>0</v>
      </c>
      <c r="E5" s="2">
        <f>SUMIF(AP$4:AP$27,B5,AV$4:AV$27)+SUMIF(AT$4:AT$27,B5,AV$4:AV$27)</f>
        <v>0</v>
      </c>
      <c r="F5" s="2">
        <f>SUMIF($BD$3:$BD$26,B5,$BE$3:$BE$26)+SUMIF($BG$3:$BG$26,B5,$BF$3:$BF$26)</f>
        <v>0</v>
      </c>
      <c r="G5" s="2">
        <f>SUMIF($BG$3:$BG$26,B5,$BE$3:$BE$26)+SUMIF($BD$3:$BD$26,B5,$BF$3:$BF$26)</f>
        <v>0</v>
      </c>
      <c r="H5" s="2">
        <f>F5-G5+100</f>
        <v>100</v>
      </c>
      <c r="I5" s="29">
        <f>C5*3+D5</f>
        <v>0</v>
      </c>
      <c r="J5" s="2">
        <v>2192</v>
      </c>
      <c r="K5" s="2">
        <f>RANK(I5,I$4:I$7)</f>
        <v>1</v>
      </c>
      <c r="L5" s="2">
        <f>SUMPRODUCT((I$4:I$7=I5)*(H$4:H$7&gt;H5))</f>
        <v>0</v>
      </c>
      <c r="M5" s="2">
        <f>SUMPRODUCT((I$4:I$7=I5)*(H$4:H$7=H5)*(F$4:F$7&gt;F5))</f>
        <v>0</v>
      </c>
      <c r="N5" s="2">
        <f>SUMPRODUCT((I$4:I$7=I5)*(H$4:H$7=H5)*(F$4:F$7=F5)*(J$4:J$7&gt;J5))</f>
        <v>1</v>
      </c>
      <c r="O5" s="2">
        <f>X5</f>
        <v>2</v>
      </c>
      <c r="P5" s="2" t="str">
        <f>VLOOKUP(2,A$4:B$7,2,FALSE)</f>
        <v>Portugal</v>
      </c>
      <c r="Q5" s="2">
        <f>SUMIF(B$4:B$28,P5,F$4:F$28)</f>
        <v>0</v>
      </c>
      <c r="R5" s="2">
        <f>SUMIF(B$4:B$28,P5,H$4:H$28)</f>
        <v>100</v>
      </c>
      <c r="S5" s="29">
        <f>SUMIF(B$4:B$28,P5,I$4:I$28)</f>
        <v>0</v>
      </c>
      <c r="T5" s="2">
        <f t="shared" si="0"/>
        <v>1</v>
      </c>
      <c r="U5" s="2">
        <f t="shared" si="0"/>
        <v>0</v>
      </c>
      <c r="V5" s="2">
        <f t="shared" si="0"/>
        <v>0</v>
      </c>
      <c r="W5" s="2">
        <f>SUMIF($B$4:$B$28,$P5,J$4:J$28)</f>
        <v>2192</v>
      </c>
      <c r="X5" s="2">
        <f>IF(Y5=0,T5,T5+AG5+AH5+AI5+AJ5+AK5+AL5)</f>
        <v>2</v>
      </c>
      <c r="Y5" s="2" t="str">
        <f>IF(COUNTIF(S$4:S$7,S5)=1,0,P5)</f>
        <v>Portugal</v>
      </c>
      <c r="Z5" s="2">
        <f>SUMIF($AW$4:$AW$27,Y5,$AV$4:$AV$27)+SUMIF($AZ$4:$AZ$27,Y5,$AV$4:$AV$27)</f>
        <v>0</v>
      </c>
      <c r="AA5" s="2">
        <f>SUMIF($AX$4:$AX$27,$Y5,$AV$4:$AV$27)+SUMIF($BA$4:$BA$27,$Y5,$AV$4:$AV$27)</f>
        <v>0</v>
      </c>
      <c r="AB5" s="2">
        <f>SUMIF($AY$4:$AY$27,$Y5,$AV$4:$AV$27)+SUMIF($BB$4:$BB$27,$Y5,$AV$4:$AV$27)</f>
        <v>0</v>
      </c>
      <c r="AC5" s="2">
        <f>SUMIF(AW$4:AW$27,Y5,AQ$4:AQ$27)+SUMIF(AZ$4:AZ$27,Y5,AU$4:AU$27)+SUMIF(AX$4:AX$27,Y5,AQ$4:AQ$27)+SUMIF(BA$4:BA$27,Y5,AU$4:AU$27)</f>
        <v>0</v>
      </c>
      <c r="AD5" s="2">
        <f>SUMIF(AY$4:AY$27,Y5,AQ$4:AQ$27)+SUMIF(BB$4:BB$27,Y5,AU$4:AU$27)+SUMIF(AX$4:AX$27,Y5,AQ$4:AQ$27)+SUMIF(BA$4:BA$27,Y5,AU$4:AU$27)</f>
        <v>0</v>
      </c>
      <c r="AE5" s="2">
        <f>AC5-AD5+100</f>
        <v>100</v>
      </c>
      <c r="AF5" s="29">
        <f>IF(Y5&lt;&gt;0,Z5*3+AA5,"")</f>
        <v>0</v>
      </c>
      <c r="AG5" s="2">
        <f>IF(Y5&lt;&gt;0,RANK(AF5,AF$4:AF$7)-1,5)</f>
        <v>0</v>
      </c>
      <c r="AH5" s="2">
        <f>IF(Y5&lt;&gt;0,SUMPRODUCT((AF$4:AF$7=AF5)*(AE$4:AE$7&gt;AE5)),5)</f>
        <v>0</v>
      </c>
      <c r="AI5" s="2">
        <f>IF(Y5&lt;&gt;0,SUMPRODUCT(($AF$4:$AF$7=AF5)*($AE$4:$AE$7=AE5)*($AC$4:$AC$7&gt;AC5)),5)</f>
        <v>0</v>
      </c>
      <c r="AJ5" s="2">
        <f>IF(Y5&lt;&gt;0,SUMPRODUCT(($AF$4:$AF$7=AF5)*($AE$4:$AE$7=AE5)*($AC$4:$AC$7=AC5)*($R$4:$R$7&gt;R5)),5)</f>
        <v>0</v>
      </c>
      <c r="AK5" s="2">
        <f>IF($Y5&lt;&gt;0,SUMPRODUCT(($AF$4:$AF$7=$AF5)*($AE$4:$AE$7=$AE5)*($AC$4:$AC$7=$AC5)*($R$4:$R$7=$R5)*($Q$4:$Q$7&gt;$Q5)),5)</f>
        <v>0</v>
      </c>
      <c r="AL5" s="2">
        <f>IF($Y5&lt;&gt;0,SUMPRODUCT(($AF$4:$AF$7=$AF5)*($AE$4:$AE$7=$AE5)*($AC$4:$AC$7=$AC5)*($R$4:$R$7=$R5)*($Q$4:$Q$7=$Q5)*($W$4:$W$7&gt;$W5)),5)</f>
        <v>1</v>
      </c>
      <c r="AM5" s="2">
        <v>2</v>
      </c>
      <c r="AN5" s="2">
        <f>IF(AND('Euro 2008 Schedule'!H23&lt;&gt;"",'Euro 2008 Schedule'!J23&lt;&gt;""),IF('Euro 2008 Schedule'!H23&gt;'Euro 2008 Schedule'!J23,'Euro 2008 Schedule'!G23,""),"")</f>
      </c>
      <c r="AO5" s="2">
        <f>IF(AND('Euro 2008 Schedule'!H23&lt;&gt;"",'Euro 2008 Schedule'!J23&lt;&gt;""),IF('Euro 2008 Schedule'!H23='Euro 2008 Schedule'!J23,'Euro 2008 Schedule'!G23,""),"")</f>
      </c>
      <c r="AP5" s="2">
        <f>IF(AND('Euro 2008 Schedule'!H23&lt;&gt;"",'Euro 2008 Schedule'!J23&lt;&gt;""),IF('Euro 2008 Schedule'!H23&gt;'Euro 2008 Schedule'!J23,'Euro 2008 Schedule'!L23,""),"")</f>
      </c>
      <c r="AQ5" s="2">
        <f>IF(AND('Euro 2008 Schedule'!H23&lt;&gt;"",'Euro 2008 Schedule'!J23&lt;&gt;""),'Euro 2008 Schedule'!H23,0)</f>
        <v>0</v>
      </c>
      <c r="AR5" s="2">
        <f>IF(AND('Euro 2008 Schedule'!H23&lt;&gt;"",'Euro 2008 Schedule'!J23&lt;&gt;""),IF('Euro 2008 Schedule'!H23&lt;'Euro 2008 Schedule'!J23,'Euro 2008 Schedule'!L23,""),"")</f>
      </c>
      <c r="AS5" s="2">
        <f>IF(AND('Euro 2008 Schedule'!H23&lt;&gt;"",'Euro 2008 Schedule'!J23&lt;&gt;""),IF('Euro 2008 Schedule'!H23='Euro 2008 Schedule'!J23,'Euro 2008 Schedule'!L23,""),"")</f>
      </c>
      <c r="AT5" s="2">
        <f>IF(AND('Euro 2008 Schedule'!H23&lt;&gt;"",'Euro 2008 Schedule'!J23&lt;&gt;""),IF('Euro 2008 Schedule'!H23&lt;'Euro 2008 Schedule'!J23,'Euro 2008 Schedule'!G23,""),"")</f>
      </c>
      <c r="AU5" s="2">
        <f>IF(AND('Euro 2008 Schedule'!H23&lt;&gt;"",'Euro 2008 Schedule'!J23&lt;&gt;""),'Euro 2008 Schedule'!J23,0)</f>
        <v>0</v>
      </c>
      <c r="AV5" s="2">
        <v>1</v>
      </c>
      <c r="AW5" s="2">
        <f aca="true" t="shared" si="2" ref="AW5:AW27">IF(AND(COUNTIF($Y$4:$Y$28,AN5)=1,COUNTIF($Y$4:$Y$28,AP5)=1),AN5,"")</f>
      </c>
      <c r="AX5" s="2">
        <f aca="true" t="shared" si="3" ref="AX5:AX27">IF(AND(COUNTIF($Y$4:$Y$28,AO5)=1,COUNTIF($Y$4:$Y$28,AS5)=1),AO5,"")</f>
      </c>
      <c r="AY5" s="2">
        <f aca="true" t="shared" si="4" ref="AY5:AY27">IF(AND(COUNTIF($Y$4:$Y$28,AP5)=1,COUNTIF($Y$4:$Y$28,AN5)=1),AP5,"")</f>
      </c>
      <c r="AZ5" s="2">
        <f aca="true" t="shared" si="5" ref="AZ5:AZ27">IF(AND(COUNTIF($Y$4:$Y$28,AR5)=1,COUNTIF($Y$4:$Y$28,AT5)=1),AR5,"")</f>
      </c>
      <c r="BA5" s="2">
        <f aca="true" t="shared" si="6" ref="BA5:BA27">IF(AND(COUNTIF($Y$4:$Y$28,AS5)=1,COUNTIF($Y$4:$Y$28,AO5)=1),AS5,"")</f>
      </c>
      <c r="BB5" s="2">
        <f t="shared" si="1"/>
      </c>
      <c r="BC5" s="2">
        <v>3</v>
      </c>
      <c r="BD5" s="2" t="str">
        <f>'Euro 2008 Schedule'!G41</f>
        <v>Austria</v>
      </c>
      <c r="BE5" s="2">
        <f>IF(AND('Euro 2008 Schedule'!H41&lt;&gt;"",'Euro 2008 Schedule'!J41&lt;&gt;""),'Euro 2008 Schedule'!H41,"")</f>
      </c>
      <c r="BF5" s="2">
        <f>IF(AND('Euro 2008 Schedule'!J41&lt;&gt;"",'Euro 2008 Schedule'!H41&lt;&gt;""),'Euro 2008 Schedule'!J41,"")</f>
      </c>
      <c r="BG5" s="2" t="str">
        <f>'Euro 2008 Schedule'!L41</f>
        <v>Croatia</v>
      </c>
    </row>
    <row r="6" spans="1:59" ht="12.75">
      <c r="A6" s="2">
        <f>K6+L6+M6+N6</f>
        <v>3</v>
      </c>
      <c r="B6" s="2" t="str">
        <f>'Euro 2008 Schedule'!L23</f>
        <v>Turkey</v>
      </c>
      <c r="C6" s="2">
        <f>SUMIF(AN$4:AN$27,B6,AV$4:AV$27)+SUMIF(AR$4:AR$27,B6,AV$4:AV$27)</f>
        <v>0</v>
      </c>
      <c r="D6" s="2">
        <f>SUMIF(AO$4:AO$27,B6,AV$4:AV$27)+SUMIF(AS$4:AS$27,B6,AV$4:AV$27)</f>
        <v>0</v>
      </c>
      <c r="E6" s="2">
        <f>SUMIF(AP$4:AP$27,B6,AV$4:AV$27)+SUMIF(AT$4:AT$27,B6,AV$4:AV$27)</f>
        <v>0</v>
      </c>
      <c r="F6" s="2">
        <f>SUMIF($BD$3:$BD$26,B6,$BE$3:$BE$26)+SUMIF($BG$3:$BG$26,B6,$BF$3:$BF$26)</f>
        <v>0</v>
      </c>
      <c r="G6" s="2">
        <f>SUMIF($BG$3:$BG$26,B6,$BE$3:$BE$26)+SUMIF($BD$3:$BD$26,B6,$BF$3:$BF$26)</f>
        <v>0</v>
      </c>
      <c r="H6" s="2">
        <f>F6-G6+100</f>
        <v>100</v>
      </c>
      <c r="I6" s="29">
        <f>C6*3+D6</f>
        <v>0</v>
      </c>
      <c r="J6" s="2">
        <v>1958</v>
      </c>
      <c r="K6" s="2">
        <f>RANK(I6,I$4:I$7)</f>
        <v>1</v>
      </c>
      <c r="L6" s="2">
        <f>SUMPRODUCT((I$4:I$7=I6)*(H$4:H$7&gt;H6))</f>
        <v>0</v>
      </c>
      <c r="M6" s="2">
        <f>SUMPRODUCT((I$4:I$7=I6)*(H$4:H$7=H6)*(F$4:F$7&gt;F6))</f>
        <v>0</v>
      </c>
      <c r="N6" s="2">
        <f>SUMPRODUCT((I$4:I$7=I6)*(H$4:H$7=H6)*(F$4:F$7=F6)*(J$4:J$7&gt;J6))</f>
        <v>2</v>
      </c>
      <c r="O6" s="2">
        <f>IF(X6=5,3,IF(X6=6,4,X6))</f>
        <v>3</v>
      </c>
      <c r="P6" s="2" t="str">
        <f>VLOOKUP(3,A$4:B$7,2,FALSE)</f>
        <v>Turkey</v>
      </c>
      <c r="Q6" s="2">
        <f>SUMIF(B$4:B$28,P6,F$4:F$28)</f>
        <v>0</v>
      </c>
      <c r="R6" s="2">
        <f>SUMIF(B$4:B$28,P6,H$4:H$28)</f>
        <v>100</v>
      </c>
      <c r="S6" s="29">
        <f>SUMIF(B$4:B$28,P6,I$4:I$28)</f>
        <v>0</v>
      </c>
      <c r="T6" s="2">
        <f t="shared" si="0"/>
        <v>1</v>
      </c>
      <c r="U6" s="2">
        <f t="shared" si="0"/>
        <v>0</v>
      </c>
      <c r="V6" s="2">
        <f t="shared" si="0"/>
        <v>0</v>
      </c>
      <c r="W6" s="2">
        <f>SUMIF($B$4:$B$28,$P6,J$4:J$28)</f>
        <v>1958</v>
      </c>
      <c r="X6" s="2">
        <f>IF(Y6=0,T6,T6+AG6+AH6+AI6+AJ6+AK6+AL6)</f>
        <v>3</v>
      </c>
      <c r="Y6" s="2" t="str">
        <f>IF(S5=S6,IF(COUNTIF(S$4:S$7,S6)=1,0,P6),0)</f>
        <v>Turkey</v>
      </c>
      <c r="Z6" s="2">
        <f>SUMIF($AW$4:$AW$27,Y6,$AV$4:$AV$27)+SUMIF($AZ$4:$AZ$27,Y6,$AV$4:$AV$27)</f>
        <v>0</v>
      </c>
      <c r="AA6" s="2">
        <f>SUMIF($AX$4:$AX$27,$Y6,$AV$4:$AV$27)+SUMIF($BA$4:$BA$27,$Y6,$AV$4:$AV$27)</f>
        <v>0</v>
      </c>
      <c r="AB6" s="2">
        <f>SUMIF($AY$4:$AY$27,$Y6,$AV$4:$AV$27)+SUMIF($BB$4:$BB$27,$Y6,$AV$4:$AV$27)</f>
        <v>0</v>
      </c>
      <c r="AC6" s="2">
        <f>SUMIF(AW$4:AW$27,Y6,AQ$4:AQ$27)+SUMIF(AZ$4:AZ$27,Y6,AU$4:AU$27)+SUMIF(AX$4:AX$27,Y6,AQ$4:AQ$27)+SUMIF(BA$4:BA$27,Y6,AU$4:AU$27)</f>
        <v>0</v>
      </c>
      <c r="AD6" s="2">
        <f>SUMIF(AY$4:AY$27,Y6,AQ$4:AQ$27)+SUMIF(BB$4:BB$27,Y6,AU$4:AU$27)+SUMIF(AX$4:AX$27,Y6,AQ$4:AQ$27)+SUMIF(BA$4:BA$27,Y6,AU$4:AU$27)</f>
        <v>0</v>
      </c>
      <c r="AE6" s="2">
        <f>AC6-AD6+100</f>
        <v>100</v>
      </c>
      <c r="AF6" s="29">
        <f>IF(Y6&lt;&gt;0,Z6*3+AA6,"")</f>
        <v>0</v>
      </c>
      <c r="AG6" s="2">
        <f>IF(Y6&lt;&gt;0,RANK(AF6,AF$4:AF$7)-1,5)</f>
        <v>0</v>
      </c>
      <c r="AH6" s="2">
        <f>IF(Y6&lt;&gt;0,SUMPRODUCT((AF$4:AF$7=AF6)*(AE$4:AE$7&gt;AE6)),5)</f>
        <v>0</v>
      </c>
      <c r="AI6" s="2">
        <f>IF(Y6&lt;&gt;0,SUMPRODUCT(($AF$4:$AF$7=AF6)*($AE$4:$AE$7=AE6)*($AC$4:$AC$7&gt;AC6)),5)</f>
        <v>0</v>
      </c>
      <c r="AJ6" s="2">
        <f>IF(Y6&lt;&gt;0,SUMPRODUCT(($AF$4:$AF$7=AF6)*($AE$4:$AE$7=AE6)*($AC$4:$AC$7=AC6)*($R$4:$R$7&gt;R6)),5)</f>
        <v>0</v>
      </c>
      <c r="AK6" s="2">
        <f>IF($Y6&lt;&gt;0,SUMPRODUCT(($AF$4:$AF$7=$AF6)*($AE$4:$AE$7=$AE6)*($AC$4:$AC$7=$AC6)*($R$4:$R$7=$R6)*($Q$4:$Q$7&gt;$Q6)),5)</f>
        <v>0</v>
      </c>
      <c r="AL6" s="2">
        <f>IF($Y6&lt;&gt;0,SUMPRODUCT(($AF$4:$AF$7=$AF6)*($AE$4:$AE$7=$AE6)*($AC$4:$AC$7=$AC6)*($R$4:$R$7=$R6)*($Q$4:$Q$7=$Q6)*($W$4:$W$7&gt;$W6)),5)</f>
        <v>2</v>
      </c>
      <c r="AM6" s="2">
        <v>3</v>
      </c>
      <c r="AN6" s="2">
        <f>IF(AND('Euro 2008 Schedule'!H41&lt;&gt;"",'Euro 2008 Schedule'!J41&lt;&gt;""),IF('Euro 2008 Schedule'!H41&gt;'Euro 2008 Schedule'!J41,'Euro 2008 Schedule'!G41,""),"")</f>
      </c>
      <c r="AO6" s="2">
        <f>IF(AND('Euro 2008 Schedule'!H41&lt;&gt;"",'Euro 2008 Schedule'!J41&lt;&gt;""),IF('Euro 2008 Schedule'!H41='Euro 2008 Schedule'!J41,'Euro 2008 Schedule'!G41,""),"")</f>
      </c>
      <c r="AP6" s="2">
        <f>IF(AND('Euro 2008 Schedule'!H41&lt;&gt;"",'Euro 2008 Schedule'!J41&lt;&gt;""),IF('Euro 2008 Schedule'!H41&gt;'Euro 2008 Schedule'!J41,'Euro 2008 Schedule'!L41,""),"")</f>
      </c>
      <c r="AQ6" s="2">
        <f>IF(AND('Euro 2008 Schedule'!H41&lt;&gt;"",'Euro 2008 Schedule'!J41&lt;&gt;""),'Euro 2008 Schedule'!H41,0)</f>
        <v>0</v>
      </c>
      <c r="AR6" s="2">
        <f>IF(AND('Euro 2008 Schedule'!H41&lt;&gt;"",'Euro 2008 Schedule'!J41&lt;&gt;""),IF('Euro 2008 Schedule'!H41&lt;'Euro 2008 Schedule'!J41,'Euro 2008 Schedule'!L41,""),"")</f>
      </c>
      <c r="AS6" s="2">
        <f>IF(AND('Euro 2008 Schedule'!H41&lt;&gt;"",'Euro 2008 Schedule'!J41&lt;&gt;""),IF('Euro 2008 Schedule'!H41='Euro 2008 Schedule'!J41,'Euro 2008 Schedule'!L41,""),"")</f>
      </c>
      <c r="AT6" s="2">
        <f>IF(AND('Euro 2008 Schedule'!H41&lt;&gt;"",'Euro 2008 Schedule'!J41&lt;&gt;""),IF('Euro 2008 Schedule'!H41&lt;'Euro 2008 Schedule'!J41,'Euro 2008 Schedule'!G41,""),"")</f>
      </c>
      <c r="AU6" s="2">
        <f>IF(AND('Euro 2008 Schedule'!H41&lt;&gt;"",'Euro 2008 Schedule'!J41&lt;&gt;""),'Euro 2008 Schedule'!J41,0)</f>
        <v>0</v>
      </c>
      <c r="AV6" s="2">
        <v>1</v>
      </c>
      <c r="AW6" s="2">
        <f t="shared" si="2"/>
      </c>
      <c r="AX6" s="2">
        <f t="shared" si="3"/>
      </c>
      <c r="AY6" s="2">
        <f t="shared" si="4"/>
      </c>
      <c r="AZ6" s="2">
        <f t="shared" si="5"/>
      </c>
      <c r="BA6" s="2">
        <f t="shared" si="6"/>
      </c>
      <c r="BB6" s="2">
        <f t="shared" si="1"/>
      </c>
      <c r="BC6" s="2">
        <v>4</v>
      </c>
      <c r="BD6" s="2" t="str">
        <f>'Euro 2008 Schedule'!G42</f>
        <v>Germany</v>
      </c>
      <c r="BE6" s="2">
        <f>IF(AND('Euro 2008 Schedule'!H42&lt;&gt;"",'Euro 2008 Schedule'!J42&lt;&gt;""),'Euro 2008 Schedule'!H42,"")</f>
      </c>
      <c r="BF6" s="2">
        <f>IF(AND('Euro 2008 Schedule'!J42&lt;&gt;"",'Euro 2008 Schedule'!H42&lt;&gt;""),'Euro 2008 Schedule'!J42,"")</f>
      </c>
      <c r="BG6" s="2" t="str">
        <f>'Euro 2008 Schedule'!L42</f>
        <v>Poland</v>
      </c>
    </row>
    <row r="7" spans="1:59" ht="12.75">
      <c r="A7" s="2">
        <f>K7+L7+M7+N7</f>
        <v>4</v>
      </c>
      <c r="B7" s="2" t="str">
        <f>'Euro 2008 Schedule'!G22</f>
        <v>Switzerland</v>
      </c>
      <c r="C7" s="2">
        <f>SUMIF(AN$4:AN$27,B7,AV$4:AV$27)+SUMIF(AR$4:AR$27,B7,AV$4:AV$27)</f>
        <v>0</v>
      </c>
      <c r="D7" s="2">
        <f>SUMIF(AO$4:AO$27,B7,AV$4:AV$27)+SUMIF(AS$4:AS$27,B7,AV$4:AV$27)</f>
        <v>0</v>
      </c>
      <c r="E7" s="2">
        <f>SUMIF(AP$4:AP$27,B7,AV$4:AV$27)+SUMIF(AT$4:AT$27,B7,AV$4:AV$27)</f>
        <v>0</v>
      </c>
      <c r="F7" s="2">
        <f>SUMIF($BD$3:$BD$26,B7,$BE$3:$BE$26)+SUMIF($BG$3:$BG$26,B7,$BF$3:$BF$26)</f>
        <v>0</v>
      </c>
      <c r="G7" s="2">
        <f>SUMIF($BG$3:$BG$26,B7,$BE$3:$BE$26)+SUMIF($BD$3:$BD$26,B7,$BF$3:$BF$26)</f>
        <v>0</v>
      </c>
      <c r="H7" s="2">
        <f>F7-G7+100</f>
        <v>100</v>
      </c>
      <c r="I7" s="29">
        <f>C7*3+D7</f>
        <v>0</v>
      </c>
      <c r="J7" s="2">
        <v>1800</v>
      </c>
      <c r="K7" s="2">
        <f>RANK(I7,I$4:I$7)</f>
        <v>1</v>
      </c>
      <c r="L7" s="2">
        <f>SUMPRODUCT((I$4:I$7=I7)*(H$4:H$7&gt;H7))</f>
        <v>0</v>
      </c>
      <c r="M7" s="2">
        <f>SUMPRODUCT((I$4:I$7=I7)*(H$4:H$7=H7)*(F$4:F$7&gt;F7))</f>
        <v>0</v>
      </c>
      <c r="N7" s="2">
        <f>SUMPRODUCT((I$4:I$7=I7)*(H$4:H$7=H7)*(F$4:F$7=F7)*(J$4:J$7&gt;J7))</f>
        <v>3</v>
      </c>
      <c r="O7" s="2">
        <f>IF(X7=X6,IF(X7=3,4,X7),IF(X7=5,3,IF(X7=6,4,X7)))</f>
        <v>4</v>
      </c>
      <c r="P7" s="2" t="str">
        <f>VLOOKUP(4,A$4:B$7,2,FALSE)</f>
        <v>Switzerland</v>
      </c>
      <c r="Q7" s="2">
        <f>SUMIF(B$4:B$28,P7,F$4:F$28)</f>
        <v>0</v>
      </c>
      <c r="R7" s="2">
        <f>SUMIF(B$4:B$28,P7,H$4:H$28)</f>
        <v>100</v>
      </c>
      <c r="S7" s="29">
        <f>SUMIF(B$4:B$28,P7,I$4:I$28)</f>
        <v>0</v>
      </c>
      <c r="T7" s="2">
        <f t="shared" si="0"/>
        <v>1</v>
      </c>
      <c r="U7" s="2">
        <f t="shared" si="0"/>
        <v>0</v>
      </c>
      <c r="V7" s="2">
        <f t="shared" si="0"/>
        <v>0</v>
      </c>
      <c r="W7" s="2">
        <f>SUMIF($B$4:$B$28,$P7,J$4:J$28)</f>
        <v>1800</v>
      </c>
      <c r="X7" s="2">
        <f>IF(Y7=0,T7,T7+AG7+AH7+AI7+AJ7+AK7+AL7)</f>
        <v>4</v>
      </c>
      <c r="Y7" s="2" t="str">
        <f>IF(Y6=0,0,IF(COUNTIF(S$4:S$7,S7)=1,0,P7))</f>
        <v>Switzerland</v>
      </c>
      <c r="Z7" s="2">
        <f>SUMIF($AW$4:$AW$27,Y7,$AV$4:$AV$27)+SUMIF($AZ$4:$AZ$27,Y7,$AV$4:$AV$27)</f>
        <v>0</v>
      </c>
      <c r="AA7" s="2">
        <f>SUMIF($AX$4:$AX$27,$Y7,$AV$4:$AV$27)+SUMIF($BA$4:$BA$27,$Y7,$AV$4:$AV$27)</f>
        <v>0</v>
      </c>
      <c r="AB7" s="2">
        <f>SUMIF($AY$4:$AY$27,$Y7,$AV$4:$AV$27)+SUMIF($BB$4:$BB$27,$Y7,$AV$4:$AV$27)</f>
        <v>0</v>
      </c>
      <c r="AC7" s="2">
        <f>SUMIF(AW$4:AW$27,Y7,AQ$4:AQ$27)+SUMIF(AZ$4:AZ$27,Y7,AU$4:AU$27)+SUMIF(AX$4:AX$27,Y7,AQ$4:AQ$27)+SUMIF(BA$4:BA$27,Y7,AU$4:AU$27)</f>
        <v>0</v>
      </c>
      <c r="AD7" s="2">
        <f>SUMIF(AY$4:AY$27,Y7,AQ$4:AQ$27)+SUMIF(BB$4:BB$27,Y7,AU$4:AU$27)+SUMIF(AX$4:AX$27,Y7,AQ$4:AQ$27)+SUMIF(BA$4:BA$27,Y7,AU$4:AU$27)</f>
        <v>0</v>
      </c>
      <c r="AE7" s="2">
        <f>AC7-AD7+100</f>
        <v>100</v>
      </c>
      <c r="AF7" s="29">
        <f>IF(Y7&lt;&gt;0,Z7*3+AA7,"")</f>
        <v>0</v>
      </c>
      <c r="AG7" s="2">
        <f>IF(Y7&lt;&gt;0,RANK(AF7,AF$4:AF$7)-1,5)</f>
        <v>0</v>
      </c>
      <c r="AH7" s="2">
        <f>IF(Y7&lt;&gt;0,SUMPRODUCT((AF$4:AF$7=AF7)*(AE$4:AE$7&gt;AE7)),5)</f>
        <v>0</v>
      </c>
      <c r="AI7" s="2">
        <f>IF(Y7&lt;&gt;0,SUMPRODUCT(($AF$4:$AF$7=AF7)*($AE$4:$AE$7=AE7)*($AC$4:$AC$7&gt;AC7)),5)</f>
        <v>0</v>
      </c>
      <c r="AJ7" s="2">
        <f>IF(Y7&lt;&gt;0,SUMPRODUCT(($AF$4:$AF$7=AF7)*($AE$4:$AE$7=AE7)*($AC$4:$AC$7=AC7)*($R$4:$R$7&gt;R7)),5)</f>
        <v>0</v>
      </c>
      <c r="AK7" s="2">
        <f>IF($Y7&lt;&gt;0,SUMPRODUCT(($AF$4:$AF$7=$AF7)*($AE$4:$AE$7=$AE7)*($AC$4:$AC$7=$AC7)*($R$4:$R$7=$R7)*($Q$4:$Q$7&gt;$Q7)),5)</f>
        <v>0</v>
      </c>
      <c r="AL7" s="2">
        <f>IF($Y7&lt;&gt;0,SUMPRODUCT(($AF$4:$AF$7=$AF7)*($AE$4:$AE$7=$AE7)*($AC$4:$AC$7=$AC7)*($R$4:$R$7=$R7)*($Q$4:$Q$7=$Q7)*($W$4:$W$7&gt;$W7)),5)</f>
        <v>3</v>
      </c>
      <c r="AM7" s="2">
        <v>4</v>
      </c>
      <c r="AN7" s="2">
        <f>IF(AND('Euro 2008 Schedule'!H42&lt;&gt;"",'Euro 2008 Schedule'!J42&lt;&gt;""),IF('Euro 2008 Schedule'!H42&gt;'Euro 2008 Schedule'!J42,'Euro 2008 Schedule'!G42,""),"")</f>
      </c>
      <c r="AO7" s="2">
        <f>IF(AND('Euro 2008 Schedule'!H42&lt;&gt;"",'Euro 2008 Schedule'!J42&lt;&gt;""),IF('Euro 2008 Schedule'!H42='Euro 2008 Schedule'!J42,'Euro 2008 Schedule'!G42,""),"")</f>
      </c>
      <c r="AP7" s="2">
        <f>IF(AND('Euro 2008 Schedule'!H42&lt;&gt;"",'Euro 2008 Schedule'!J42&lt;&gt;""),IF('Euro 2008 Schedule'!H42&gt;'Euro 2008 Schedule'!J42,'Euro 2008 Schedule'!L42,""),"")</f>
      </c>
      <c r="AQ7" s="2">
        <f>IF(AND('Euro 2008 Schedule'!H42&lt;&gt;"",'Euro 2008 Schedule'!J42&lt;&gt;""),'Euro 2008 Schedule'!H42,0)</f>
        <v>0</v>
      </c>
      <c r="AR7" s="2">
        <f>IF(AND('Euro 2008 Schedule'!H42&lt;&gt;"",'Euro 2008 Schedule'!J42&lt;&gt;""),IF('Euro 2008 Schedule'!H42&lt;'Euro 2008 Schedule'!J42,'Euro 2008 Schedule'!L42,""),"")</f>
      </c>
      <c r="AS7" s="2">
        <f>IF(AND('Euro 2008 Schedule'!H42&lt;&gt;"",'Euro 2008 Schedule'!J42&lt;&gt;""),IF('Euro 2008 Schedule'!H42='Euro 2008 Schedule'!J42,'Euro 2008 Schedule'!L42,""),"")</f>
      </c>
      <c r="AT7" s="2">
        <f>IF(AND('Euro 2008 Schedule'!H42&lt;&gt;"",'Euro 2008 Schedule'!J42&lt;&gt;""),IF('Euro 2008 Schedule'!H42&lt;'Euro 2008 Schedule'!J42,'Euro 2008 Schedule'!G42,""),"")</f>
      </c>
      <c r="AU7" s="2">
        <f>IF(AND('Euro 2008 Schedule'!H42&lt;&gt;"",'Euro 2008 Schedule'!J42&lt;&gt;""),'Euro 2008 Schedule'!J42,0)</f>
        <v>0</v>
      </c>
      <c r="AV7" s="2">
        <v>1</v>
      </c>
      <c r="AW7" s="2">
        <f t="shared" si="2"/>
      </c>
      <c r="AX7" s="2">
        <f t="shared" si="3"/>
      </c>
      <c r="AY7" s="2">
        <f t="shared" si="4"/>
      </c>
      <c r="AZ7" s="2">
        <f t="shared" si="5"/>
      </c>
      <c r="BA7" s="2">
        <f t="shared" si="6"/>
      </c>
      <c r="BB7" s="2">
        <f t="shared" si="1"/>
      </c>
      <c r="BC7" s="2">
        <v>5</v>
      </c>
      <c r="BD7" s="2" t="str">
        <f>'Euro 2008 Schedule'!G60</f>
        <v>Romania</v>
      </c>
      <c r="BE7" s="2">
        <f>IF(AND('Euro 2008 Schedule'!H60&lt;&gt;"",'Euro 2008 Schedule'!J60&lt;&gt;""),'Euro 2008 Schedule'!H60,"")</f>
      </c>
      <c r="BF7" s="2">
        <f>IF(AND('Euro 2008 Schedule'!J60&lt;&gt;"",'Euro 2008 Schedule'!H60&lt;&gt;""),'Euro 2008 Schedule'!J60,"")</f>
      </c>
      <c r="BG7" s="2" t="str">
        <f>'Euro 2008 Schedule'!L60</f>
        <v>France</v>
      </c>
    </row>
    <row r="8" spans="9:59" ht="12.75">
      <c r="I8" s="29"/>
      <c r="S8" s="29"/>
      <c r="AF8" s="29"/>
      <c r="AM8" s="2">
        <v>5</v>
      </c>
      <c r="AN8" s="2">
        <f>IF(AND('Euro 2008 Schedule'!H60&lt;&gt;"",'Euro 2008 Schedule'!J60&lt;&gt;""),IF('Euro 2008 Schedule'!H60&gt;'Euro 2008 Schedule'!J60,'Euro 2008 Schedule'!G60,""),"")</f>
      </c>
      <c r="AO8" s="2">
        <f>IF(AND('Euro 2008 Schedule'!H60&lt;&gt;"",'Euro 2008 Schedule'!J60&lt;&gt;""),IF('Euro 2008 Schedule'!H60='Euro 2008 Schedule'!J60,'Euro 2008 Schedule'!G60,""),"")</f>
      </c>
      <c r="AP8" s="2">
        <f>IF(AND('Euro 2008 Schedule'!H60&lt;&gt;"",'Euro 2008 Schedule'!J60&lt;&gt;""),IF('Euro 2008 Schedule'!H60&gt;'Euro 2008 Schedule'!J60,'Euro 2008 Schedule'!L60,""),"")</f>
      </c>
      <c r="AQ8" s="2">
        <f>IF(AND('Euro 2008 Schedule'!H60&lt;&gt;"",'Euro 2008 Schedule'!J60&lt;&gt;""),'Euro 2008 Schedule'!H60,0)</f>
        <v>0</v>
      </c>
      <c r="AR8" s="2">
        <f>IF(AND('Euro 2008 Schedule'!H60&lt;&gt;"",'Euro 2008 Schedule'!J60&lt;&gt;""),IF('Euro 2008 Schedule'!H60&lt;'Euro 2008 Schedule'!J60,'Euro 2008 Schedule'!L60,""),"")</f>
      </c>
      <c r="AS8" s="2">
        <f>IF(AND('Euro 2008 Schedule'!H60&lt;&gt;"",'Euro 2008 Schedule'!J60&lt;&gt;""),IF('Euro 2008 Schedule'!H60='Euro 2008 Schedule'!J60,'Euro 2008 Schedule'!L60,""),"")</f>
      </c>
      <c r="AT8" s="2">
        <f>IF(AND('Euro 2008 Schedule'!H60&lt;&gt;"",'Euro 2008 Schedule'!J60&lt;&gt;""),IF('Euro 2008 Schedule'!H60&lt;'Euro 2008 Schedule'!J60,'Euro 2008 Schedule'!G60,""),"")</f>
      </c>
      <c r="AU8" s="2">
        <f>IF(AND('Euro 2008 Schedule'!H60&lt;&gt;"",'Euro 2008 Schedule'!J60&lt;&gt;""),'Euro 2008 Schedule'!J60,0)</f>
        <v>0</v>
      </c>
      <c r="AV8" s="2">
        <v>1</v>
      </c>
      <c r="AW8" s="2">
        <f t="shared" si="2"/>
      </c>
      <c r="AX8" s="2">
        <f t="shared" si="3"/>
      </c>
      <c r="AY8" s="2">
        <f t="shared" si="4"/>
      </c>
      <c r="AZ8" s="2">
        <f t="shared" si="5"/>
      </c>
      <c r="BA8" s="2">
        <f t="shared" si="6"/>
      </c>
      <c r="BB8" s="2">
        <f t="shared" si="1"/>
      </c>
      <c r="BC8" s="2">
        <v>6</v>
      </c>
      <c r="BD8" s="2" t="str">
        <f>'Euro 2008 Schedule'!G61</f>
        <v>Netherlands</v>
      </c>
      <c r="BE8" s="2">
        <f>IF(AND('Euro 2008 Schedule'!H61&lt;&gt;"",'Euro 2008 Schedule'!J61&lt;&gt;""),'Euro 2008 Schedule'!H61,"")</f>
      </c>
      <c r="BF8" s="2">
        <f>IF(AND('Euro 2008 Schedule'!J61&lt;&gt;"",'Euro 2008 Schedule'!H61&lt;&gt;""),'Euro 2008 Schedule'!J61,"")</f>
      </c>
      <c r="BG8" s="2" t="str">
        <f>'Euro 2008 Schedule'!L61</f>
        <v>Italy</v>
      </c>
    </row>
    <row r="9" spans="2:59" ht="12.75">
      <c r="B9" s="2" t="s">
        <v>25</v>
      </c>
      <c r="C9" s="2" t="s">
        <v>21</v>
      </c>
      <c r="D9" s="2" t="s">
        <v>22</v>
      </c>
      <c r="E9" s="2" t="s">
        <v>23</v>
      </c>
      <c r="F9" s="2" t="s">
        <v>28</v>
      </c>
      <c r="G9" s="2" t="s">
        <v>29</v>
      </c>
      <c r="H9" s="2" t="s">
        <v>566</v>
      </c>
      <c r="I9" s="29" t="s">
        <v>417</v>
      </c>
      <c r="S9" s="29"/>
      <c r="AF9" s="29"/>
      <c r="AM9" s="2">
        <v>6</v>
      </c>
      <c r="AN9" s="2">
        <f>IF(AND('Euro 2008 Schedule'!H61&lt;&gt;"",'Euro 2008 Schedule'!J61&lt;&gt;""),IF('Euro 2008 Schedule'!H61&gt;'Euro 2008 Schedule'!J61,'Euro 2008 Schedule'!G61,""),"")</f>
      </c>
      <c r="AO9" s="2">
        <f>IF(AND('Euro 2008 Schedule'!H61&lt;&gt;"",'Euro 2008 Schedule'!J61&lt;&gt;""),IF('Euro 2008 Schedule'!H61='Euro 2008 Schedule'!J61,'Euro 2008 Schedule'!G61,""),"")</f>
      </c>
      <c r="AP9" s="2">
        <f>IF(AND('Euro 2008 Schedule'!H61&lt;&gt;"",'Euro 2008 Schedule'!J61&lt;&gt;""),IF('Euro 2008 Schedule'!H61&gt;'Euro 2008 Schedule'!J61,'Euro 2008 Schedule'!L61,""),"")</f>
      </c>
      <c r="AQ9" s="2">
        <f>IF(AND('Euro 2008 Schedule'!H61&lt;&gt;"",'Euro 2008 Schedule'!J61&lt;&gt;""),'Euro 2008 Schedule'!H61,0)</f>
        <v>0</v>
      </c>
      <c r="AR9" s="2">
        <f>IF(AND('Euro 2008 Schedule'!H61&lt;&gt;"",'Euro 2008 Schedule'!J61&lt;&gt;""),IF('Euro 2008 Schedule'!H61&lt;'Euro 2008 Schedule'!J61,'Euro 2008 Schedule'!L61,""),"")</f>
      </c>
      <c r="AS9" s="2">
        <f>IF(AND('Euro 2008 Schedule'!H61&lt;&gt;"",'Euro 2008 Schedule'!J61&lt;&gt;""),IF('Euro 2008 Schedule'!H61='Euro 2008 Schedule'!J61,'Euro 2008 Schedule'!L61,""),"")</f>
      </c>
      <c r="AT9" s="2">
        <f>IF(AND('Euro 2008 Schedule'!H61&lt;&gt;"",'Euro 2008 Schedule'!J61&lt;&gt;""),IF('Euro 2008 Schedule'!H61&lt;'Euro 2008 Schedule'!J61,'Euro 2008 Schedule'!G61,""),"")</f>
      </c>
      <c r="AU9" s="2">
        <f>IF(AND('Euro 2008 Schedule'!H61&lt;&gt;"",'Euro 2008 Schedule'!J61&lt;&gt;""),'Euro 2008 Schedule'!J61,0)</f>
        <v>0</v>
      </c>
      <c r="AV9" s="2">
        <v>1</v>
      </c>
      <c r="AW9" s="2">
        <f t="shared" si="2"/>
      </c>
      <c r="AX9" s="2">
        <f t="shared" si="3"/>
      </c>
      <c r="AY9" s="2">
        <f t="shared" si="4"/>
      </c>
      <c r="AZ9" s="2">
        <f t="shared" si="5"/>
      </c>
      <c r="BA9" s="2">
        <f t="shared" si="6"/>
      </c>
      <c r="BB9" s="2">
        <f t="shared" si="1"/>
      </c>
      <c r="BC9" s="2">
        <v>7</v>
      </c>
      <c r="BD9" s="2" t="str">
        <f>'Euro 2008 Schedule'!G79</f>
        <v>Spain</v>
      </c>
      <c r="BE9" s="2">
        <f>IF(AND('Euro 2008 Schedule'!H79&lt;&gt;"",'Euro 2008 Schedule'!J79&lt;&gt;""),'Euro 2008 Schedule'!H79,"")</f>
      </c>
      <c r="BF9" s="2">
        <f>IF(AND('Euro 2008 Schedule'!J79&lt;&gt;"",'Euro 2008 Schedule'!H79&lt;&gt;""),'Euro 2008 Schedule'!J79,"")</f>
      </c>
      <c r="BG9" s="2" t="str">
        <f>'Euro 2008 Schedule'!L79</f>
        <v>Russia</v>
      </c>
    </row>
    <row r="10" spans="9:59" ht="12.75">
      <c r="I10" s="29"/>
      <c r="S10" s="29"/>
      <c r="AF10" s="29"/>
      <c r="AM10" s="2">
        <v>7</v>
      </c>
      <c r="AN10" s="2">
        <f>IF(AND('Euro 2008 Schedule'!H79&lt;&gt;"",'Euro 2008 Schedule'!J79&lt;&gt;""),IF('Euro 2008 Schedule'!H79&gt;'Euro 2008 Schedule'!J79,'Euro 2008 Schedule'!G79,""),"")</f>
      </c>
      <c r="AO10" s="2">
        <f>IF(AND('Euro 2008 Schedule'!H79&lt;&gt;"",'Euro 2008 Schedule'!J79&lt;&gt;""),IF('Euro 2008 Schedule'!H79='Euro 2008 Schedule'!J79,'Euro 2008 Schedule'!G79,""),"")</f>
      </c>
      <c r="AP10" s="2">
        <f>IF(AND('Euro 2008 Schedule'!H79&lt;&gt;"",'Euro 2008 Schedule'!J79&lt;&gt;""),IF('Euro 2008 Schedule'!H79&gt;'Euro 2008 Schedule'!J79,'Euro 2008 Schedule'!L79,""),"")</f>
      </c>
      <c r="AQ10" s="2">
        <f>IF(AND('Euro 2008 Schedule'!H79&lt;&gt;"",'Euro 2008 Schedule'!J79&lt;&gt;""),'Euro 2008 Schedule'!H79,0)</f>
        <v>0</v>
      </c>
      <c r="AR10" s="2">
        <f>IF(AND('Euro 2008 Schedule'!H79&lt;&gt;"",'Euro 2008 Schedule'!J79&lt;&gt;""),IF('Euro 2008 Schedule'!H79&lt;'Euro 2008 Schedule'!J79,'Euro 2008 Schedule'!L79,""),"")</f>
      </c>
      <c r="AS10" s="2">
        <f>IF(AND('Euro 2008 Schedule'!H79&lt;&gt;"",'Euro 2008 Schedule'!J79&lt;&gt;""),IF('Euro 2008 Schedule'!H79='Euro 2008 Schedule'!J79,'Euro 2008 Schedule'!L79,""),"")</f>
      </c>
      <c r="AT10" s="2">
        <f>IF(AND('Euro 2008 Schedule'!H79&lt;&gt;"",'Euro 2008 Schedule'!J79&lt;&gt;""),IF('Euro 2008 Schedule'!H79&lt;'Euro 2008 Schedule'!J79,'Euro 2008 Schedule'!G79,""),"")</f>
      </c>
      <c r="AU10" s="2">
        <f>IF(AND('Euro 2008 Schedule'!H79&lt;&gt;"",'Euro 2008 Schedule'!J79&lt;&gt;""),'Euro 2008 Schedule'!J79,0)</f>
        <v>0</v>
      </c>
      <c r="AV10" s="2">
        <v>1</v>
      </c>
      <c r="AW10" s="2">
        <f t="shared" si="2"/>
      </c>
      <c r="AX10" s="2">
        <f t="shared" si="3"/>
      </c>
      <c r="AY10" s="2">
        <f t="shared" si="4"/>
      </c>
      <c r="AZ10" s="2">
        <f t="shared" si="5"/>
      </c>
      <c r="BA10" s="2">
        <f t="shared" si="6"/>
      </c>
      <c r="BB10" s="2">
        <f t="shared" si="1"/>
      </c>
      <c r="BC10" s="2">
        <v>8</v>
      </c>
      <c r="BD10" s="2" t="str">
        <f>'Euro 2008 Schedule'!G80</f>
        <v>Greece</v>
      </c>
      <c r="BE10" s="2">
        <f>IF(AND('Euro 2008 Schedule'!H80&lt;&gt;"",'Euro 2008 Schedule'!J80&lt;&gt;""),'Euro 2008 Schedule'!H80,"")</f>
      </c>
      <c r="BF10" s="2">
        <f>IF(AND('Euro 2008 Schedule'!J80&lt;&gt;"",'Euro 2008 Schedule'!H80&lt;&gt;""),'Euro 2008 Schedule'!J80,"")</f>
      </c>
      <c r="BG10" s="2" t="str">
        <f>'Euro 2008 Schedule'!L80</f>
        <v>Sweden</v>
      </c>
    </row>
    <row r="11" spans="1:59" ht="12.75">
      <c r="A11" s="2">
        <f>K11+L11+M11+N11</f>
        <v>1</v>
      </c>
      <c r="B11" s="2" t="str">
        <f>'Euro 2008 Schedule'!L41</f>
        <v>Croatia</v>
      </c>
      <c r="C11" s="2">
        <f>SUMIF(AN$4:AN$27,B11,AV$4:AV$27)+SUMIF(AR$4:AR$27,B11,AV$4:AV$27)</f>
        <v>0</v>
      </c>
      <c r="D11" s="2">
        <f>SUMIF(AO$4:AO$27,B11,AV$4:AV$27)+SUMIF(AS$4:AS$27,B11,AV$4:AV$27)</f>
        <v>0</v>
      </c>
      <c r="E11" s="2">
        <f>SUMIF(AP$4:AP$27,B11,AV$4:AV$27)+SUMIF(AT$4:AT$27,B11,AV$4:AV$27)</f>
        <v>0</v>
      </c>
      <c r="F11" s="2">
        <f>SUMIF($BD$3:$BD$26,B11,$BE$3:$BE$26)+SUMIF($BG$3:$BG$26,B11,$BF$3:$BF$26)</f>
        <v>0</v>
      </c>
      <c r="G11" s="2">
        <f>SUMIF($BG$3:$BG$26,B11,$BE$3:$BE$26)+SUMIF($BD$3:$BD$26,B11,$BF$3:$BF$26)</f>
        <v>0</v>
      </c>
      <c r="H11" s="2">
        <f>F11-G11+100</f>
        <v>100</v>
      </c>
      <c r="I11" s="29">
        <f>C11*3+D11</f>
        <v>0</v>
      </c>
      <c r="J11" s="2">
        <v>2409</v>
      </c>
      <c r="K11" s="2">
        <f>RANK(I11,I$11:I$14)</f>
        <v>1</v>
      </c>
      <c r="L11" s="2">
        <f>SUMPRODUCT((I$11:I$14=I11)*(H$11:H$14&gt;H11))</f>
        <v>0</v>
      </c>
      <c r="M11" s="2">
        <f>SUMPRODUCT((I$11:I$14=I11)*(H$11:H$14=H11)*(F$11:F$14&gt;F11))</f>
        <v>0</v>
      </c>
      <c r="N11" s="2">
        <f>SUMPRODUCT((I$11:I$14=I11)*(H$11:H$14=H11)*(F$11:F$14=F11)*(J$11:J$14&gt;J11))</f>
        <v>0</v>
      </c>
      <c r="O11" s="2">
        <f>X11</f>
        <v>1</v>
      </c>
      <c r="P11" s="2" t="str">
        <f>VLOOKUP(1,A$11:B$14,2,FALSE)</f>
        <v>Croatia</v>
      </c>
      <c r="Q11" s="2">
        <f>SUMIF(B$4:B$28,P11,F$4:F$28)</f>
        <v>0</v>
      </c>
      <c r="R11" s="2">
        <f>SUMIF(B$4:B$28,P11,H$4:H$28)</f>
        <v>100</v>
      </c>
      <c r="S11" s="29">
        <f>SUMIF(B$4:B$28,P11,I$4:I$28)</f>
        <v>0</v>
      </c>
      <c r="T11" s="2">
        <f aca="true" t="shared" si="7" ref="T11:V14">SUMIF($B$4:$B$28,$P11,K$4:K$28)</f>
        <v>1</v>
      </c>
      <c r="U11" s="2">
        <f t="shared" si="7"/>
        <v>0</v>
      </c>
      <c r="V11" s="2">
        <f t="shared" si="7"/>
        <v>0</v>
      </c>
      <c r="W11" s="2">
        <f>SUMIF($B$4:$B$28,$P11,J$4:J$28)</f>
        <v>2409</v>
      </c>
      <c r="X11" s="2">
        <f>IF(Y11=0,T11,T11+AG11+AH11+AI11+AJ11+AK11+AL11)</f>
        <v>1</v>
      </c>
      <c r="Y11" s="2" t="str">
        <f>IF(COUNTIF(S$11:S$14,S11)=1,0,P11)</f>
        <v>Croatia</v>
      </c>
      <c r="Z11" s="2">
        <f>SUMIF($AW$4:$AW$27,Y11,$AV$4:$AV$27)+SUMIF($AZ$4:$AZ$27,Y11,$AV$4:$AV$27)</f>
        <v>0</v>
      </c>
      <c r="AA11" s="2">
        <f>SUMIF($AX$4:$AX$27,$Y11,$AV$4:$AV$27)+SUMIF($BA$4:$BA$27,$Y11,$AV$4:$AV$27)</f>
        <v>0</v>
      </c>
      <c r="AB11" s="2">
        <f>SUMIF($AY$4:$AY$27,$Y11,$AV$4:$AV$27)+SUMIF($BB$4:$BB$27,$Y11,$AV$4:$AV$27)</f>
        <v>0</v>
      </c>
      <c r="AC11" s="2">
        <f>SUMIF(AW$4:AW$27,Y11,AQ$4:AQ$27)+SUMIF(AZ$4:AZ$27,Y11,AU$4:AU$27)+SUMIF(AX$4:AX$27,Y11,AQ$4:AQ$27)+SUMIF(BA$4:BA$27,Y11,AU$4:AU$27)</f>
        <v>0</v>
      </c>
      <c r="AD11" s="2">
        <f>SUMIF(AY$4:AY$27,Y11,AQ$4:AQ$27)+SUMIF(BB$4:BB$27,Y11,AU$4:AU$27)+SUMIF(AX$4:AX$27,Y11,AQ$4:AQ$27)+SUMIF(BA$4:BA$27,Y11,AU$4:AU$27)</f>
        <v>0</v>
      </c>
      <c r="AE11" s="2">
        <f>AC11-AD11+100</f>
        <v>100</v>
      </c>
      <c r="AF11" s="29">
        <f>IF(Y11&lt;&gt;0,Z11*3+AA11,"")</f>
        <v>0</v>
      </c>
      <c r="AG11" s="2">
        <f>IF(Y11&lt;&gt;0,RANK(AF11,AF$11:AF$14)-1,5)</f>
        <v>0</v>
      </c>
      <c r="AH11" s="2">
        <f>IF(Y11&lt;&gt;0,SUMPRODUCT((AF$11:AF$14=AF11)*(AE$11:AE$14&gt;AE11)),5)</f>
        <v>0</v>
      </c>
      <c r="AI11" s="2">
        <f>IF(Y11&lt;&gt;0,SUMPRODUCT((AF$11:AF$14=AF11)*(AE$11:AE$14=AE11)*(AC$11:AC$14&gt;AC11)),5)</f>
        <v>0</v>
      </c>
      <c r="AJ11" s="2">
        <f>IF(Y11&lt;&gt;0,SUMPRODUCT(($AF$11:$AF$14=AF11)*($AE$11:$AE$14=AE11)*($AC$11:$AC$14=AC11)*($R$11:$R$14&gt;R11)),5)</f>
        <v>0</v>
      </c>
      <c r="AK11" s="2">
        <f>IF(Y11&lt;&gt;0,SUMPRODUCT(($AF$11:$AF$14=AF11)*($AE$11:$AE$14=AE11)*($AC$11:$AC$14=AC11)*($R$11:$R$14=R11)*($Q$11:$Q$14&gt;Q11)),5)</f>
        <v>0</v>
      </c>
      <c r="AL11" s="2">
        <f>IF($Y11&lt;&gt;0,SUMPRODUCT(($AF$11:$AF$14=$AF11)*($AE$11:$AE$14=$AE11)*($AC$11:$AC$14=$AC11)*($R$11:$R$14=$R11)*($Q$11:$Q$14=$Q11)*($W$11:$W$14&gt;$W11)),5)</f>
        <v>0</v>
      </c>
      <c r="AM11" s="2">
        <v>8</v>
      </c>
      <c r="AN11" s="2">
        <f>IF(AND('Euro 2008 Schedule'!H80&lt;&gt;"",'Euro 2008 Schedule'!J80&lt;&gt;""),IF('Euro 2008 Schedule'!H80&gt;'Euro 2008 Schedule'!J80,'Euro 2008 Schedule'!G80,""),"")</f>
      </c>
      <c r="AO11" s="2">
        <f>IF(AND('Euro 2008 Schedule'!H80&lt;&gt;"",'Euro 2008 Schedule'!J80&lt;&gt;""),IF('Euro 2008 Schedule'!H80='Euro 2008 Schedule'!J80,'Euro 2008 Schedule'!G80,""),"")</f>
      </c>
      <c r="AP11" s="2">
        <f>IF(AND('Euro 2008 Schedule'!H80&lt;&gt;"",'Euro 2008 Schedule'!J80&lt;&gt;""),IF('Euro 2008 Schedule'!H80&gt;'Euro 2008 Schedule'!J80,'Euro 2008 Schedule'!L80,""),"")</f>
      </c>
      <c r="AQ11" s="2">
        <f>IF(AND('Euro 2008 Schedule'!H80&lt;&gt;"",'Euro 2008 Schedule'!J80&lt;&gt;""),'Euro 2008 Schedule'!H80,0)</f>
        <v>0</v>
      </c>
      <c r="AR11" s="2">
        <f>IF(AND('Euro 2008 Schedule'!H80&lt;&gt;"",'Euro 2008 Schedule'!J80&lt;&gt;""),IF('Euro 2008 Schedule'!H80&lt;'Euro 2008 Schedule'!J80,'Euro 2008 Schedule'!L80,""),"")</f>
      </c>
      <c r="AS11" s="2">
        <f>IF(AND('Euro 2008 Schedule'!H80&lt;&gt;"",'Euro 2008 Schedule'!J80&lt;&gt;""),IF('Euro 2008 Schedule'!H80='Euro 2008 Schedule'!J80,'Euro 2008 Schedule'!L80,""),"")</f>
      </c>
      <c r="AT11" s="2">
        <f>IF(AND('Euro 2008 Schedule'!H80&lt;&gt;"",'Euro 2008 Schedule'!J80&lt;&gt;""),IF('Euro 2008 Schedule'!H80&lt;'Euro 2008 Schedule'!J80,'Euro 2008 Schedule'!G80,""),"")</f>
      </c>
      <c r="AU11" s="2">
        <f>IF(AND('Euro 2008 Schedule'!H80&lt;&gt;"",'Euro 2008 Schedule'!J80&lt;&gt;""),'Euro 2008 Schedule'!J80,0)</f>
        <v>0</v>
      </c>
      <c r="AV11" s="2">
        <v>1</v>
      </c>
      <c r="AW11" s="2">
        <f t="shared" si="2"/>
      </c>
      <c r="AX11" s="2">
        <f t="shared" si="3"/>
      </c>
      <c r="AY11" s="2">
        <f t="shared" si="4"/>
      </c>
      <c r="AZ11" s="2">
        <f t="shared" si="5"/>
      </c>
      <c r="BA11" s="2">
        <f t="shared" si="6"/>
      </c>
      <c r="BB11" s="2">
        <f t="shared" si="1"/>
      </c>
      <c r="BC11" s="2">
        <v>9</v>
      </c>
      <c r="BD11" s="2" t="str">
        <f>'Euro 2008 Schedule'!G25</f>
        <v>Czech Republic</v>
      </c>
      <c r="BE11" s="2">
        <f>IF(AND('Euro 2008 Schedule'!H25&lt;&gt;"",'Euro 2008 Schedule'!J25&lt;&gt;""),'Euro 2008 Schedule'!H25,"")</f>
      </c>
      <c r="BF11" s="2">
        <f>IF(AND('Euro 2008 Schedule'!J25&lt;&gt;"",'Euro 2008 Schedule'!H25&lt;&gt;""),'Euro 2008 Schedule'!J25,"")</f>
      </c>
      <c r="BG11" s="2" t="str">
        <f>'Euro 2008 Schedule'!L25</f>
        <v>Portugal</v>
      </c>
    </row>
    <row r="12" spans="1:59" ht="12.75">
      <c r="A12" s="2">
        <f>K12+L12+M12+N12</f>
        <v>2</v>
      </c>
      <c r="B12" s="2" t="str">
        <f>'Euro 2008 Schedule'!G42</f>
        <v>Germany</v>
      </c>
      <c r="C12" s="2">
        <f>SUMIF(AN$4:AN$27,B12,AV$4:AV$27)+SUMIF(AR$4:AR$27,B12,AV$4:AV$27)</f>
        <v>0</v>
      </c>
      <c r="D12" s="2">
        <f>SUMIF(AO$4:AO$27,B12,AV$4:AV$27)+SUMIF(AS$4:AS$27,B12,AV$4:AV$27)</f>
        <v>0</v>
      </c>
      <c r="E12" s="2">
        <f>SUMIF(AP$4:AP$27,B12,AV$4:AV$27)+SUMIF(AT$4:AT$27,B12,AV$4:AV$27)</f>
        <v>0</v>
      </c>
      <c r="F12" s="2">
        <f>SUMIF($BD$3:$BD$26,B12,$BE$3:$BE$26)+SUMIF($BG$3:$BG$26,B12,$BF$3:$BF$26)</f>
        <v>0</v>
      </c>
      <c r="G12" s="2">
        <f>SUMIF($BG$3:$BG$26,B12,$BE$3:$BE$26)+SUMIF($BD$3:$BD$26,B12,$BF$3:$BF$26)</f>
        <v>0</v>
      </c>
      <c r="H12" s="2">
        <f>F12-G12+100</f>
        <v>100</v>
      </c>
      <c r="I12" s="29">
        <f>C12*3+D12</f>
        <v>0</v>
      </c>
      <c r="J12" s="2">
        <v>2250</v>
      </c>
      <c r="K12" s="2">
        <f>RANK(I12,I$11:I$14)</f>
        <v>1</v>
      </c>
      <c r="L12" s="2">
        <f>SUMPRODUCT((I$11:I$14=I12)*(H$11:H$14&gt;H12))</f>
        <v>0</v>
      </c>
      <c r="M12" s="2">
        <f>SUMPRODUCT((I$11:I$14=I12)*(H$11:H$14=H12)*(F$11:F$14&gt;F12))</f>
        <v>0</v>
      </c>
      <c r="N12" s="2">
        <f>SUMPRODUCT((I$11:I$14=I12)*(H$11:H$14=H12)*(F$11:F$14=F12)*(J$11:J$14&gt;J12))</f>
        <v>1</v>
      </c>
      <c r="O12" s="2">
        <f>X12</f>
        <v>2</v>
      </c>
      <c r="P12" s="2" t="str">
        <f>VLOOKUP(2,A$11:B$14,2,FALSE)</f>
        <v>Germany</v>
      </c>
      <c r="Q12" s="2">
        <f>SUMIF(B$4:B$28,P12,F$4:F$28)</f>
        <v>0</v>
      </c>
      <c r="R12" s="2">
        <f>SUMIF(B$4:B$28,P12,H$4:H$28)</f>
        <v>100</v>
      </c>
      <c r="S12" s="29">
        <f>SUMIF(B$4:B$28,P12,I$4:I$28)</f>
        <v>0</v>
      </c>
      <c r="T12" s="2">
        <f t="shared" si="7"/>
        <v>1</v>
      </c>
      <c r="U12" s="2">
        <f t="shared" si="7"/>
        <v>0</v>
      </c>
      <c r="V12" s="2">
        <f t="shared" si="7"/>
        <v>0</v>
      </c>
      <c r="W12" s="2">
        <f>SUMIF($B$4:$B$28,$P12,J$4:J$28)</f>
        <v>2250</v>
      </c>
      <c r="X12" s="2">
        <f>IF(Y12=0,T12,T12+AG12+AH12+AI12+AJ12+AK12+AL12)</f>
        <v>2</v>
      </c>
      <c r="Y12" s="2" t="str">
        <f>IF(COUNTIF(S$11:S$14,S12)=1,0,P12)</f>
        <v>Germany</v>
      </c>
      <c r="Z12" s="2">
        <f>SUMIF($AW$4:$AW$27,Y12,$AV$4:$AV$27)+SUMIF($AZ$4:$AZ$27,Y12,$AV$4:$AV$27)</f>
        <v>0</v>
      </c>
      <c r="AA12" s="2">
        <f>SUMIF($AX$4:$AX$27,$Y12,$AV$4:$AV$27)+SUMIF($BA$4:$BA$27,$Y12,$AV$4:$AV$27)</f>
        <v>0</v>
      </c>
      <c r="AB12" s="2">
        <f>SUMIF($AY$4:$AY$27,$Y12,$AV$4:$AV$27)+SUMIF($BB$4:$BB$27,$Y12,$AV$4:$AV$27)</f>
        <v>0</v>
      </c>
      <c r="AC12" s="2">
        <f>SUMIF(AW$4:AW$27,Y12,AQ$4:AQ$27)+SUMIF(AZ$4:AZ$27,Y12,AU$4:AU$27)+SUMIF(AX$4:AX$27,Y12,AQ$4:AQ$27)+SUMIF(BA$4:BA$27,Y12,AU$4:AU$27)</f>
        <v>0</v>
      </c>
      <c r="AD12" s="2">
        <f>SUMIF(AY$4:AY$27,Y12,AQ$4:AQ$27)+SUMIF(BB$4:BB$27,Y12,AU$4:AU$27)+SUMIF(AX$4:AX$27,Y12,AQ$4:AQ$27)+SUMIF(BA$4:BA$27,Y12,AU$4:AU$27)</f>
        <v>0</v>
      </c>
      <c r="AE12" s="2">
        <f>AC12-AD12+100</f>
        <v>100</v>
      </c>
      <c r="AF12" s="29">
        <f>IF(Y12&lt;&gt;0,Z12*3+AA12,"")</f>
        <v>0</v>
      </c>
      <c r="AG12" s="2">
        <f>IF(Y12&lt;&gt;0,RANK(AF12,AF$11:AF$14)-1,5)</f>
        <v>0</v>
      </c>
      <c r="AH12" s="2">
        <f>IF(Y12&lt;&gt;0,SUMPRODUCT((AF$11:AF$14=AF12)*(AE$11:AE$14&gt;AE12)),5)</f>
        <v>0</v>
      </c>
      <c r="AI12" s="2">
        <f>IF(Y12&lt;&gt;0,SUMPRODUCT((AF$11:AF$14=AF12)*(AE$11:AE$14=AE12)*(AC$11:AC$14&gt;AC12)),5)</f>
        <v>0</v>
      </c>
      <c r="AJ12" s="2">
        <f>IF(Y12&lt;&gt;0,SUMPRODUCT(($AF$11:$AF$14=AF12)*($AE$11:$AE$14=AE12)*($AC$11:$AC$14=AC12)*($R$11:$R$14&gt;R12)),5)</f>
        <v>0</v>
      </c>
      <c r="AK12" s="2">
        <f>IF(Y12&lt;&gt;0,SUMPRODUCT(($AF$11:$AF$14=AF12)*($AE$11:$AE$14=AE12)*($AC$11:$AC$14=AC12)*($R$11:$R$14=R12)*($Q$11:$Q$14&gt;Q12)),5)</f>
        <v>0</v>
      </c>
      <c r="AL12" s="2">
        <f>IF($Y12&lt;&gt;0,SUMPRODUCT(($AF$11:$AF$14=$AF12)*($AE$11:$AE$14=$AE12)*($AC$11:$AC$14=$AC12)*($R$11:$R$14=$R12)*($Q$11:$Q$14=$Q12)*($W$11:$W$14&gt;$W12)),5)</f>
        <v>1</v>
      </c>
      <c r="AM12" s="2">
        <v>9</v>
      </c>
      <c r="AN12" s="2">
        <f>IF(AND('Euro 2008 Schedule'!H25&lt;&gt;"",'Euro 2008 Schedule'!J25&lt;&gt;""),IF('Euro 2008 Schedule'!H25&gt;'Euro 2008 Schedule'!J25,'Euro 2008 Schedule'!G25,""),"")</f>
      </c>
      <c r="AO12" s="2">
        <f>IF(AND('Euro 2008 Schedule'!H25&lt;&gt;"",'Euro 2008 Schedule'!J25&lt;&gt;""),IF('Euro 2008 Schedule'!H25='Euro 2008 Schedule'!J25,'Euro 2008 Schedule'!G25,""),"")</f>
      </c>
      <c r="AP12" s="2">
        <f>IF(AND('Euro 2008 Schedule'!H25&lt;&gt;"",'Euro 2008 Schedule'!J25&lt;&gt;""),IF('Euro 2008 Schedule'!H25&gt;'Euro 2008 Schedule'!J25,'Euro 2008 Schedule'!L25,""),"")</f>
      </c>
      <c r="AQ12" s="2">
        <f>IF(AND('Euro 2008 Schedule'!H25&lt;&gt;"",'Euro 2008 Schedule'!J25&lt;&gt;""),'Euro 2008 Schedule'!H25,0)</f>
        <v>0</v>
      </c>
      <c r="AR12" s="2">
        <f>IF(AND('Euro 2008 Schedule'!H25&lt;&gt;"",'Euro 2008 Schedule'!J25&lt;&gt;""),IF('Euro 2008 Schedule'!H25&lt;'Euro 2008 Schedule'!J25,'Euro 2008 Schedule'!L25,""),"")</f>
      </c>
      <c r="AS12" s="2">
        <f>IF(AND('Euro 2008 Schedule'!H25&lt;&gt;"",'Euro 2008 Schedule'!J25&lt;&gt;""),IF('Euro 2008 Schedule'!H25='Euro 2008 Schedule'!J25,'Euro 2008 Schedule'!L25,""),"")</f>
      </c>
      <c r="AT12" s="2">
        <f>IF(AND('Euro 2008 Schedule'!H25&lt;&gt;"",'Euro 2008 Schedule'!J25&lt;&gt;""),IF('Euro 2008 Schedule'!H25&lt;'Euro 2008 Schedule'!J25,'Euro 2008 Schedule'!G25,""),"")</f>
      </c>
      <c r="AU12" s="2">
        <f>IF(AND('Euro 2008 Schedule'!H25&lt;&gt;"",'Euro 2008 Schedule'!J25&lt;&gt;""),'Euro 2008 Schedule'!J25,0)</f>
        <v>0</v>
      </c>
      <c r="AV12" s="2">
        <v>1</v>
      </c>
      <c r="AW12" s="2">
        <f t="shared" si="2"/>
      </c>
      <c r="AX12" s="2">
        <f t="shared" si="3"/>
      </c>
      <c r="AY12" s="2">
        <f t="shared" si="4"/>
      </c>
      <c r="AZ12" s="2">
        <f t="shared" si="5"/>
      </c>
      <c r="BA12" s="2">
        <f t="shared" si="6"/>
      </c>
      <c r="BB12" s="2">
        <f t="shared" si="1"/>
      </c>
      <c r="BC12" s="2">
        <v>10</v>
      </c>
      <c r="BD12" s="2" t="str">
        <f>'Euro 2008 Schedule'!G26</f>
        <v>Switzerland</v>
      </c>
      <c r="BE12" s="2">
        <f>IF(AND('Euro 2008 Schedule'!H26&lt;&gt;"",'Euro 2008 Schedule'!J26&lt;&gt;""),'Euro 2008 Schedule'!H26,"")</f>
      </c>
      <c r="BF12" s="2">
        <f>IF(AND('Euro 2008 Schedule'!J26&lt;&gt;"",'Euro 2008 Schedule'!H26&lt;&gt;""),'Euro 2008 Schedule'!J26,"")</f>
      </c>
      <c r="BG12" s="2" t="str">
        <f>'Euro 2008 Schedule'!L26</f>
        <v>Turkey</v>
      </c>
    </row>
    <row r="13" spans="1:59" ht="12.75">
      <c r="A13" s="2">
        <f>K13+L13+M13+N13</f>
        <v>3</v>
      </c>
      <c r="B13" s="2" t="str">
        <f>'Euro 2008 Schedule'!L42</f>
        <v>Poland</v>
      </c>
      <c r="C13" s="2">
        <f>SUMIF(AN$4:AN$27,B13,AV$4:AV$27)+SUMIF(AR$4:AR$27,B13,AV$4:AV$27)</f>
        <v>0</v>
      </c>
      <c r="D13" s="2">
        <f>SUMIF(AO$4:AO$27,B13,AV$4:AV$27)+SUMIF(AS$4:AS$27,B13,AV$4:AV$27)</f>
        <v>0</v>
      </c>
      <c r="E13" s="2">
        <f>SUMIF(AP$4:AP$27,B13,AV$4:AV$27)+SUMIF(AT$4:AT$27,B13,AV$4:AV$27)</f>
        <v>0</v>
      </c>
      <c r="F13" s="2">
        <f>SUMIF($BD$3:$BD$26,B13,$BE$3:$BE$26)+SUMIF($BG$3:$BG$26,B13,$BF$3:$BF$26)</f>
        <v>0</v>
      </c>
      <c r="G13" s="2">
        <f>SUMIF($BG$3:$BG$26,B13,$BE$3:$BE$26)+SUMIF($BD$3:$BD$26,B13,$BF$3:$BF$26)</f>
        <v>0</v>
      </c>
      <c r="H13" s="2">
        <f>F13-G13+100</f>
        <v>100</v>
      </c>
      <c r="I13" s="29">
        <f>C13*3+D13</f>
        <v>0</v>
      </c>
      <c r="J13" s="2">
        <v>2167</v>
      </c>
      <c r="K13" s="2">
        <f>RANK(I13,I$11:I$14)</f>
        <v>1</v>
      </c>
      <c r="L13" s="2">
        <f>SUMPRODUCT((I$11:I$14=I13)*(H$11:H$14&gt;H13))</f>
        <v>0</v>
      </c>
      <c r="M13" s="2">
        <f>SUMPRODUCT((I$11:I$14=I13)*(H$11:H$14=H13)*(F$11:F$14&gt;F13))</f>
        <v>0</v>
      </c>
      <c r="N13" s="2">
        <f>SUMPRODUCT((I$11:I$14=I13)*(H$11:H$14=H13)*(F$11:F$14=F13)*(J$11:J$14&gt;J13))</f>
        <v>2</v>
      </c>
      <c r="O13" s="2">
        <f>IF(X13=5,3,IF(X13=6,4,X13))</f>
        <v>3</v>
      </c>
      <c r="P13" s="2" t="str">
        <f>VLOOKUP(3,A$11:B$14,2,FALSE)</f>
        <v>Poland</v>
      </c>
      <c r="Q13" s="2">
        <f>SUMIF(B$4:B$28,P13,F$4:F$28)</f>
        <v>0</v>
      </c>
      <c r="R13" s="2">
        <f>SUMIF(B$4:B$28,P13,H$4:H$28)</f>
        <v>100</v>
      </c>
      <c r="S13" s="29">
        <f>SUMIF(B$4:B$28,P13,I$4:I$28)</f>
        <v>0</v>
      </c>
      <c r="T13" s="2">
        <f t="shared" si="7"/>
        <v>1</v>
      </c>
      <c r="U13" s="2">
        <f t="shared" si="7"/>
        <v>0</v>
      </c>
      <c r="V13" s="2">
        <f t="shared" si="7"/>
        <v>0</v>
      </c>
      <c r="W13" s="2">
        <f>SUMIF($B$4:$B$28,$P13,J$4:J$28)</f>
        <v>2167</v>
      </c>
      <c r="X13" s="2">
        <f>IF(Y13=0,T13,T13+AG13+AH13+AI13+AJ13+AK13+AL13)</f>
        <v>3</v>
      </c>
      <c r="Y13" s="2" t="str">
        <f>IF(S13=S12,IF(COUNTIF(S$11:S$14,S13)=1,0,P13),0)</f>
        <v>Poland</v>
      </c>
      <c r="Z13" s="2">
        <f>SUMIF($AW$4:$AW$27,Y13,$AV$4:$AV$27)+SUMIF($AZ$4:$AZ$27,Y13,$AV$4:$AV$27)</f>
        <v>0</v>
      </c>
      <c r="AA13" s="2">
        <f>SUMIF($AX$4:$AX$27,$Y13,$AV$4:$AV$27)+SUMIF($BA$4:$BA$27,$Y13,$AV$4:$AV$27)</f>
        <v>0</v>
      </c>
      <c r="AB13" s="2">
        <f>SUMIF($AY$4:$AY$27,$Y13,$AV$4:$AV$27)+SUMIF($BB$4:$BB$27,$Y13,$AV$4:$AV$27)</f>
        <v>0</v>
      </c>
      <c r="AC13" s="2">
        <f>SUMIF(AW$4:AW$27,Y13,AQ$4:AQ$27)+SUMIF(AZ$4:AZ$27,Y13,AU$4:AU$27)+SUMIF(AX$4:AX$27,Y13,AQ$4:AQ$27)+SUMIF(BA$4:BA$27,Y13,AU$4:AU$27)</f>
        <v>0</v>
      </c>
      <c r="AD13" s="2">
        <f>SUMIF(AY$4:AY$27,Y13,AQ$4:AQ$27)+SUMIF(BB$4:BB$27,Y13,AU$4:AU$27)+SUMIF(AX$4:AX$27,Y13,AQ$4:AQ$27)+SUMIF(BA$4:BA$27,Y13,AU$4:AU$27)</f>
        <v>0</v>
      </c>
      <c r="AE13" s="2">
        <f>AC13-AD13+100</f>
        <v>100</v>
      </c>
      <c r="AF13" s="29">
        <f>IF(Y13&lt;&gt;0,Z13*3+AA13,"")</f>
        <v>0</v>
      </c>
      <c r="AG13" s="2">
        <f>IF(Y13&lt;&gt;0,RANK(AF13,AF$11:AF$14)-1,5)</f>
        <v>0</v>
      </c>
      <c r="AH13" s="2">
        <f>IF(Y13&lt;&gt;0,SUMPRODUCT((AF$11:AF$14=AF13)*(AE$11:AE$14&gt;AE13)),5)</f>
        <v>0</v>
      </c>
      <c r="AI13" s="2">
        <f>IF(Y13&lt;&gt;0,SUMPRODUCT((AF$11:AF$14=AF13)*(AE$11:AE$14=AE13)*(AC$11:AC$14&gt;AC13)),5)</f>
        <v>0</v>
      </c>
      <c r="AJ13" s="2">
        <f>IF(Y13&lt;&gt;0,SUMPRODUCT(($AF$11:$AF$14=AF13)*($AE$11:$AE$14=AE13)*($AC$11:$AC$14=AC13)*($R$11:$R$14&gt;R13)),5)</f>
        <v>0</v>
      </c>
      <c r="AK13" s="2">
        <f>IF(Y13&lt;&gt;0,SUMPRODUCT(($AF$11:$AF$14=AF13)*($AE$11:$AE$14=AE13)*($AC$11:$AC$14=AC13)*($R$11:$R$14=R13)*($Q$11:$Q$14&gt;Q13)),5)</f>
        <v>0</v>
      </c>
      <c r="AL13" s="2">
        <f>IF($Y13&lt;&gt;0,SUMPRODUCT(($AF$11:$AF$14=$AF13)*($AE$11:$AE$14=$AE13)*($AC$11:$AC$14=$AC13)*($R$11:$R$14=$R13)*($Q$11:$Q$14=$Q13)*($W$11:$W$14&gt;$W13)),5)</f>
        <v>2</v>
      </c>
      <c r="AM13" s="2">
        <v>10</v>
      </c>
      <c r="AN13" s="2">
        <f>IF(AND('Euro 2008 Schedule'!H26&lt;&gt;"",'Euro 2008 Schedule'!J26&lt;&gt;""),IF('Euro 2008 Schedule'!H26&gt;'Euro 2008 Schedule'!J26,'Euro 2008 Schedule'!G26,""),"")</f>
      </c>
      <c r="AO13" s="2">
        <f>IF(AND('Euro 2008 Schedule'!H26&lt;&gt;"",'Euro 2008 Schedule'!J26&lt;&gt;""),IF('Euro 2008 Schedule'!H26='Euro 2008 Schedule'!J26,'Euro 2008 Schedule'!G26,""),"")</f>
      </c>
      <c r="AP13" s="2">
        <f>IF(AND('Euro 2008 Schedule'!H26&lt;&gt;"",'Euro 2008 Schedule'!J26&lt;&gt;""),IF('Euro 2008 Schedule'!H26&gt;'Euro 2008 Schedule'!J26,'Euro 2008 Schedule'!L26,""),"")</f>
      </c>
      <c r="AQ13" s="2">
        <f>IF(AND('Euro 2008 Schedule'!H26&lt;&gt;"",'Euro 2008 Schedule'!J26&lt;&gt;""),'Euro 2008 Schedule'!H26,0)</f>
        <v>0</v>
      </c>
      <c r="AR13" s="2">
        <f>IF(AND('Euro 2008 Schedule'!H26&lt;&gt;"",'Euro 2008 Schedule'!J26&lt;&gt;""),IF('Euro 2008 Schedule'!H26&lt;'Euro 2008 Schedule'!J26,'Euro 2008 Schedule'!L26,""),"")</f>
      </c>
      <c r="AS13" s="2">
        <f>IF(AND('Euro 2008 Schedule'!H26&lt;&gt;"",'Euro 2008 Schedule'!J26&lt;&gt;""),IF('Euro 2008 Schedule'!H26='Euro 2008 Schedule'!J26,'Euro 2008 Schedule'!L26,""),"")</f>
      </c>
      <c r="AT13" s="2">
        <f>IF(AND('Euro 2008 Schedule'!H26&lt;&gt;"",'Euro 2008 Schedule'!J26&lt;&gt;""),IF('Euro 2008 Schedule'!H26&lt;'Euro 2008 Schedule'!J26,'Euro 2008 Schedule'!G26,""),"")</f>
      </c>
      <c r="AU13" s="2">
        <f>IF(AND('Euro 2008 Schedule'!H26&lt;&gt;"",'Euro 2008 Schedule'!J26&lt;&gt;""),'Euro 2008 Schedule'!J26,0)</f>
        <v>0</v>
      </c>
      <c r="AV13" s="2">
        <v>1</v>
      </c>
      <c r="AW13" s="2">
        <f t="shared" si="2"/>
      </c>
      <c r="AX13" s="2">
        <f t="shared" si="3"/>
      </c>
      <c r="AY13" s="2">
        <f t="shared" si="4"/>
      </c>
      <c r="AZ13" s="2">
        <f t="shared" si="5"/>
      </c>
      <c r="BA13" s="2">
        <f t="shared" si="6"/>
      </c>
      <c r="BB13" s="2">
        <f t="shared" si="1"/>
      </c>
      <c r="BC13" s="2">
        <v>11</v>
      </c>
      <c r="BD13" s="2" t="str">
        <f>'Euro 2008 Schedule'!G44</f>
        <v>Croatia</v>
      </c>
      <c r="BE13" s="2">
        <f>IF(AND('Euro 2008 Schedule'!H44&lt;&gt;"",'Euro 2008 Schedule'!J44&lt;&gt;""),'Euro 2008 Schedule'!H44,"")</f>
      </c>
      <c r="BF13" s="2">
        <f>IF(AND('Euro 2008 Schedule'!J44&lt;&gt;"",'Euro 2008 Schedule'!H44&lt;&gt;""),'Euro 2008 Schedule'!J44,"")</f>
      </c>
      <c r="BG13" s="2" t="str">
        <f>'Euro 2008 Schedule'!L44</f>
        <v>Germany</v>
      </c>
    </row>
    <row r="14" spans="1:59" ht="12.75">
      <c r="A14" s="2">
        <f>K14+L14+M14+N14</f>
        <v>4</v>
      </c>
      <c r="B14" s="2" t="str">
        <f>'Euro 2008 Schedule'!G41</f>
        <v>Austria</v>
      </c>
      <c r="C14" s="2">
        <f>SUMIF(AN$4:AN$27,B14,AV$4:AV$27)+SUMIF(AR$4:AR$27,B14,AV$4:AV$27)</f>
        <v>0</v>
      </c>
      <c r="D14" s="2">
        <f>SUMIF(AO$4:AO$27,B14,AV$4:AV$27)+SUMIF(AS$4:AS$27,B14,AV$4:AV$27)</f>
        <v>0</v>
      </c>
      <c r="E14" s="2">
        <f>SUMIF(AP$4:AP$27,B14,AV$4:AV$27)+SUMIF(AT$4:AT$27,B14,AV$4:AV$27)</f>
        <v>0</v>
      </c>
      <c r="F14" s="2">
        <f>SUMIF($BD$3:$BD$26,B14,$BE$3:$BE$26)+SUMIF($BG$3:$BG$26,B14,$BF$3:$BF$26)</f>
        <v>0</v>
      </c>
      <c r="G14" s="2">
        <f>SUMIF($BG$3:$BG$26,B14,$BE$3:$BE$26)+SUMIF($BD$3:$BD$26,B14,$BF$3:$BF$26)</f>
        <v>0</v>
      </c>
      <c r="H14" s="2">
        <f>F14-G14+100</f>
        <v>100</v>
      </c>
      <c r="I14" s="29">
        <f>C14*3+D14</f>
        <v>0</v>
      </c>
      <c r="J14" s="2">
        <v>1500</v>
      </c>
      <c r="K14" s="2">
        <f>RANK(I14,I$11:I$14)</f>
        <v>1</v>
      </c>
      <c r="L14" s="2">
        <f>SUMPRODUCT((I$11:I$14=I14)*(H$11:H$14&gt;H14))</f>
        <v>0</v>
      </c>
      <c r="M14" s="2">
        <f>SUMPRODUCT((I$11:I$14=I14)*(H$11:H$14=H14)*(F$11:F$14&gt;F14))</f>
        <v>0</v>
      </c>
      <c r="N14" s="2">
        <f>SUMPRODUCT((I$11:I$14=I14)*(H$11:H$14=H14)*(F$11:F$14=F14)*(J$11:J$14&gt;J14))</f>
        <v>3</v>
      </c>
      <c r="O14" s="2">
        <f>IF(X14=X13,IF(X14=3,4,X14),IF(X14=5,3,IF(X14=6,4,X14)))</f>
        <v>4</v>
      </c>
      <c r="P14" s="2" t="str">
        <f>VLOOKUP(4,A$11:B$14,2,FALSE)</f>
        <v>Austria</v>
      </c>
      <c r="Q14" s="2">
        <f>SUMIF(B$4:B$28,P14,F$4:F$28)</f>
        <v>0</v>
      </c>
      <c r="R14" s="2">
        <f>SUMIF(B$4:B$28,P14,H$4:H$28)</f>
        <v>100</v>
      </c>
      <c r="S14" s="29">
        <f>SUMIF(B$4:B$28,P14,I$4:I$28)</f>
        <v>0</v>
      </c>
      <c r="T14" s="2">
        <f t="shared" si="7"/>
        <v>1</v>
      </c>
      <c r="U14" s="2">
        <f t="shared" si="7"/>
        <v>0</v>
      </c>
      <c r="V14" s="2">
        <f t="shared" si="7"/>
        <v>0</v>
      </c>
      <c r="W14" s="2">
        <f>SUMIF($B$4:$B$28,$P14,J$4:J$28)</f>
        <v>1500</v>
      </c>
      <c r="X14" s="2">
        <f>IF(Y14=0,T14,T14+AG14+AH14+AI14+AJ14+AK14+AL14)</f>
        <v>4</v>
      </c>
      <c r="Y14" s="2" t="str">
        <f>IF(Y13=0,0,IF(COUNTIF(S$11:S$14,S14)=1,0,P14))</f>
        <v>Austria</v>
      </c>
      <c r="Z14" s="2">
        <f>SUMIF($AW$4:$AW$27,Y14,$AV$4:$AV$27)+SUMIF($AZ$4:$AZ$27,Y14,$AV$4:$AV$27)</f>
        <v>0</v>
      </c>
      <c r="AA14" s="2">
        <f>SUMIF($AX$4:$AX$27,$Y14,$AV$4:$AV$27)+SUMIF($BA$4:$BA$27,$Y14,$AV$4:$AV$27)</f>
        <v>0</v>
      </c>
      <c r="AB14" s="2">
        <f>SUMIF($AY$4:$AY$27,$Y14,$AV$4:$AV$27)+SUMIF($BB$4:$BB$27,$Y14,$AV$4:$AV$27)</f>
        <v>0</v>
      </c>
      <c r="AC14" s="2">
        <f>SUMIF(AW$4:AW$27,Y14,AQ$4:AQ$27)+SUMIF(AZ$4:AZ$27,Y14,AU$4:AU$27)+SUMIF(AX$4:AX$27,Y14,AQ$4:AQ$27)+SUMIF(BA$4:BA$27,Y14,AU$4:AU$27)</f>
        <v>0</v>
      </c>
      <c r="AD14" s="2">
        <f>SUMIF(AY$4:AY$27,Y14,AQ$4:AQ$27)+SUMIF(BB$4:BB$27,Y14,AU$4:AU$27)+SUMIF(AX$4:AX$27,Y14,AQ$4:AQ$27)+SUMIF(BA$4:BA$27,Y14,AU$4:AU$27)</f>
        <v>0</v>
      </c>
      <c r="AE14" s="2">
        <f>AC14-AD14+100</f>
        <v>100</v>
      </c>
      <c r="AF14" s="29">
        <f>IF(Y14&lt;&gt;0,Z14*3+AA14,"")</f>
        <v>0</v>
      </c>
      <c r="AG14" s="2">
        <f>IF(Y14&lt;&gt;0,RANK(AF14,AF$11:AF$14)-1,5)</f>
        <v>0</v>
      </c>
      <c r="AH14" s="2">
        <f>IF(Y14&lt;&gt;0,SUMPRODUCT((AF$11:AF$14=AF14)*(AE$11:AE$14&gt;AE14)),5)</f>
        <v>0</v>
      </c>
      <c r="AI14" s="2">
        <f>IF(Y14&lt;&gt;0,SUMPRODUCT((AF$11:AF$14=AF14)*(AE$11:AE$14=AE14)*(AC$11:AC$14&gt;AC14)),5)</f>
        <v>0</v>
      </c>
      <c r="AJ14" s="2">
        <f>IF(Y14&lt;&gt;0,SUMPRODUCT(($AF$11:$AF$14=AF14)*($AE$11:$AE$14=AE14)*($AC$11:$AC$14=AC14)*($R$11:$R$14&gt;R14)),5)</f>
        <v>0</v>
      </c>
      <c r="AK14" s="2">
        <f>IF(Y14&lt;&gt;0,SUMPRODUCT(($AF$11:$AF$14=AF14)*($AE$11:$AE$14=AE14)*($AC$11:$AC$14=AC14)*($R$11:$R$14=R14)*($Q$11:$Q$14&gt;Q14)),5)</f>
        <v>0</v>
      </c>
      <c r="AL14" s="2">
        <f>IF($Y14&lt;&gt;0,SUMPRODUCT(($AF$11:$AF$14=$AF14)*($AE$11:$AE$14=$AE14)*($AC$11:$AC$14=$AC14)*($R$11:$R$14=$R14)*($Q$11:$Q$14=$Q14)*($W$11:$W$14&gt;$W14)),5)</f>
        <v>3</v>
      </c>
      <c r="AM14" s="2">
        <v>11</v>
      </c>
      <c r="AN14" s="2">
        <f>IF(AND('Euro 2008 Schedule'!H44&lt;&gt;"",'Euro 2008 Schedule'!J44&lt;&gt;""),IF('Euro 2008 Schedule'!H44&gt;'Euro 2008 Schedule'!J44,'Euro 2008 Schedule'!G44,""),"")</f>
      </c>
      <c r="AO14" s="2">
        <f>IF(AND('Euro 2008 Schedule'!H44&lt;&gt;"",'Euro 2008 Schedule'!J44&lt;&gt;""),IF('Euro 2008 Schedule'!H44='Euro 2008 Schedule'!J44,'Euro 2008 Schedule'!G44,""),"")</f>
      </c>
      <c r="AP14" s="2">
        <f>IF(AND('Euro 2008 Schedule'!H44&lt;&gt;"",'Euro 2008 Schedule'!J44&lt;&gt;""),IF('Euro 2008 Schedule'!H44&gt;'Euro 2008 Schedule'!J44,'Euro 2008 Schedule'!L44,""),"")</f>
      </c>
      <c r="AQ14" s="2">
        <f>IF(AND('Euro 2008 Schedule'!H44&lt;&gt;"",'Euro 2008 Schedule'!J44&lt;&gt;""),'Euro 2008 Schedule'!H44,0)</f>
        <v>0</v>
      </c>
      <c r="AR14" s="2">
        <f>IF(AND('Euro 2008 Schedule'!H44&lt;&gt;"",'Euro 2008 Schedule'!J44&lt;&gt;""),IF('Euro 2008 Schedule'!H44&lt;'Euro 2008 Schedule'!J44,'Euro 2008 Schedule'!L44,""),"")</f>
      </c>
      <c r="AS14" s="2">
        <f>IF(AND('Euro 2008 Schedule'!H44&lt;&gt;"",'Euro 2008 Schedule'!J44&lt;&gt;""),IF('Euro 2008 Schedule'!H44='Euro 2008 Schedule'!J44,'Euro 2008 Schedule'!L44,""),"")</f>
      </c>
      <c r="AT14" s="2">
        <f>IF(AND('Euro 2008 Schedule'!H44&lt;&gt;"",'Euro 2008 Schedule'!J44&lt;&gt;""),IF('Euro 2008 Schedule'!H44&lt;'Euro 2008 Schedule'!J44,'Euro 2008 Schedule'!G44,""),"")</f>
      </c>
      <c r="AU14" s="2">
        <f>IF(AND('Euro 2008 Schedule'!H44&lt;&gt;"",'Euro 2008 Schedule'!J44&lt;&gt;""),'Euro 2008 Schedule'!J44,0)</f>
        <v>0</v>
      </c>
      <c r="AV14" s="2">
        <v>1</v>
      </c>
      <c r="AW14" s="2">
        <f t="shared" si="2"/>
      </c>
      <c r="AX14" s="2">
        <f t="shared" si="3"/>
      </c>
      <c r="AY14" s="2">
        <f t="shared" si="4"/>
      </c>
      <c r="AZ14" s="2">
        <f t="shared" si="5"/>
      </c>
      <c r="BA14" s="2">
        <f t="shared" si="6"/>
      </c>
      <c r="BB14" s="2">
        <f t="shared" si="1"/>
      </c>
      <c r="BC14" s="2">
        <v>12</v>
      </c>
      <c r="BD14" s="2" t="str">
        <f>'Euro 2008 Schedule'!G45</f>
        <v>Austria</v>
      </c>
      <c r="BE14" s="2">
        <f>IF(AND('Euro 2008 Schedule'!H45&lt;&gt;"",'Euro 2008 Schedule'!J45&lt;&gt;""),'Euro 2008 Schedule'!H45,"")</f>
      </c>
      <c r="BF14" s="2">
        <f>IF(AND('Euro 2008 Schedule'!J45&lt;&gt;"",'Euro 2008 Schedule'!H45&lt;&gt;""),'Euro 2008 Schedule'!J45,"")</f>
      </c>
      <c r="BG14" s="2" t="str">
        <f>'Euro 2008 Schedule'!L45</f>
        <v>Poland</v>
      </c>
    </row>
    <row r="15" spans="9:59" ht="12.75">
      <c r="I15" s="29"/>
      <c r="S15" s="29"/>
      <c r="AF15" s="29"/>
      <c r="AM15" s="2">
        <v>12</v>
      </c>
      <c r="AN15" s="2">
        <f>IF(AND('Euro 2008 Schedule'!H45&lt;&gt;"",'Euro 2008 Schedule'!J45&lt;&gt;""),IF('Euro 2008 Schedule'!H45&gt;'Euro 2008 Schedule'!J45,'Euro 2008 Schedule'!G45,""),"")</f>
      </c>
      <c r="AO15" s="2">
        <f>IF(AND('Euro 2008 Schedule'!H45&lt;&gt;"",'Euro 2008 Schedule'!J45&lt;&gt;""),IF('Euro 2008 Schedule'!H45='Euro 2008 Schedule'!J45,'Euro 2008 Schedule'!G45,""),"")</f>
      </c>
      <c r="AP15" s="2">
        <f>IF(AND('Euro 2008 Schedule'!H45&lt;&gt;"",'Euro 2008 Schedule'!J45&lt;&gt;""),IF('Euro 2008 Schedule'!H45&gt;'Euro 2008 Schedule'!J45,'Euro 2008 Schedule'!L45,""),"")</f>
      </c>
      <c r="AQ15" s="2">
        <f>IF(AND('Euro 2008 Schedule'!H45&lt;&gt;"",'Euro 2008 Schedule'!J45&lt;&gt;""),'Euro 2008 Schedule'!H45,0)</f>
        <v>0</v>
      </c>
      <c r="AR15" s="2">
        <f>IF(AND('Euro 2008 Schedule'!H45&lt;&gt;"",'Euro 2008 Schedule'!J45&lt;&gt;""),IF('Euro 2008 Schedule'!H45&lt;'Euro 2008 Schedule'!J45,'Euro 2008 Schedule'!L45,""),"")</f>
      </c>
      <c r="AS15" s="2">
        <f>IF(AND('Euro 2008 Schedule'!H45&lt;&gt;"",'Euro 2008 Schedule'!J45&lt;&gt;""),IF('Euro 2008 Schedule'!H45='Euro 2008 Schedule'!J45,'Euro 2008 Schedule'!L45,""),"")</f>
      </c>
      <c r="AT15" s="2">
        <f>IF(AND('Euro 2008 Schedule'!H45&lt;&gt;"",'Euro 2008 Schedule'!J45&lt;&gt;""),IF('Euro 2008 Schedule'!H45&lt;'Euro 2008 Schedule'!J45,'Euro 2008 Schedule'!G45,""),"")</f>
      </c>
      <c r="AU15" s="2">
        <f>IF(AND('Euro 2008 Schedule'!H45&lt;&gt;"",'Euro 2008 Schedule'!J45&lt;&gt;""),'Euro 2008 Schedule'!J45,0)</f>
        <v>0</v>
      </c>
      <c r="AV15" s="2">
        <v>1</v>
      </c>
      <c r="AW15" s="2">
        <f t="shared" si="2"/>
      </c>
      <c r="AX15" s="2">
        <f t="shared" si="3"/>
      </c>
      <c r="AY15" s="2">
        <f t="shared" si="4"/>
      </c>
      <c r="AZ15" s="2">
        <f t="shared" si="5"/>
      </c>
      <c r="BA15" s="2">
        <f t="shared" si="6"/>
      </c>
      <c r="BB15" s="2">
        <f t="shared" si="1"/>
      </c>
      <c r="BC15" s="2">
        <v>13</v>
      </c>
      <c r="BD15" s="2" t="str">
        <f>'Euro 2008 Schedule'!G63</f>
        <v>Italy</v>
      </c>
      <c r="BE15" s="2">
        <f>IF(AND('Euro 2008 Schedule'!H63&lt;&gt;"",'Euro 2008 Schedule'!J63&lt;&gt;""),'Euro 2008 Schedule'!H63,"")</f>
      </c>
      <c r="BF15" s="2">
        <f>IF(AND('Euro 2008 Schedule'!J63&lt;&gt;"",'Euro 2008 Schedule'!H63&lt;&gt;""),'Euro 2008 Schedule'!J63,"")</f>
      </c>
      <c r="BG15" s="2" t="str">
        <f>'Euro 2008 Schedule'!L63</f>
        <v>Romania</v>
      </c>
    </row>
    <row r="16" spans="2:59" ht="12.75">
      <c r="B16" s="2" t="s">
        <v>26</v>
      </c>
      <c r="C16" s="2" t="s">
        <v>21</v>
      </c>
      <c r="D16" s="2" t="s">
        <v>22</v>
      </c>
      <c r="E16" s="2" t="s">
        <v>23</v>
      </c>
      <c r="F16" s="2" t="s">
        <v>28</v>
      </c>
      <c r="G16" s="2" t="s">
        <v>29</v>
      </c>
      <c r="H16" s="2" t="s">
        <v>566</v>
      </c>
      <c r="I16" s="29" t="s">
        <v>417</v>
      </c>
      <c r="S16" s="29"/>
      <c r="AF16" s="29"/>
      <c r="AM16" s="2">
        <v>13</v>
      </c>
      <c r="AN16" s="2">
        <f>IF(AND('Euro 2008 Schedule'!H63&lt;&gt;"",'Euro 2008 Schedule'!J63&lt;&gt;""),IF('Euro 2008 Schedule'!H63&gt;'Euro 2008 Schedule'!J63,'Euro 2008 Schedule'!G63,""),"")</f>
      </c>
      <c r="AO16" s="2">
        <f>IF(AND('Euro 2008 Schedule'!H63&lt;&gt;"",'Euro 2008 Schedule'!J63&lt;&gt;""),IF('Euro 2008 Schedule'!H63='Euro 2008 Schedule'!J63,'Euro 2008 Schedule'!G63,""),"")</f>
      </c>
      <c r="AP16" s="2">
        <f>IF(AND('Euro 2008 Schedule'!H63&lt;&gt;"",'Euro 2008 Schedule'!J63&lt;&gt;""),IF('Euro 2008 Schedule'!H63&gt;'Euro 2008 Schedule'!J63,'Euro 2008 Schedule'!L63,""),"")</f>
      </c>
      <c r="AQ16" s="2">
        <f>IF(AND('Euro 2008 Schedule'!H63&lt;&gt;"",'Euro 2008 Schedule'!J63&lt;&gt;""),'Euro 2008 Schedule'!H63,0)</f>
        <v>0</v>
      </c>
      <c r="AR16" s="2">
        <f>IF(AND('Euro 2008 Schedule'!H63&lt;&gt;"",'Euro 2008 Schedule'!J63&lt;&gt;""),IF('Euro 2008 Schedule'!H63&lt;'Euro 2008 Schedule'!J63,'Euro 2008 Schedule'!L63,""),"")</f>
      </c>
      <c r="AS16" s="2">
        <f>IF(AND('Euro 2008 Schedule'!H63&lt;&gt;"",'Euro 2008 Schedule'!J63&lt;&gt;""),IF('Euro 2008 Schedule'!H63='Euro 2008 Schedule'!J63,'Euro 2008 Schedule'!L63,""),"")</f>
      </c>
      <c r="AT16" s="2">
        <f>IF(AND('Euro 2008 Schedule'!H63&lt;&gt;"",'Euro 2008 Schedule'!J63&lt;&gt;""),IF('Euro 2008 Schedule'!H63&lt;'Euro 2008 Schedule'!J63,'Euro 2008 Schedule'!G63,""),"")</f>
      </c>
      <c r="AU16" s="2">
        <f>IF(AND('Euro 2008 Schedule'!H63&lt;&gt;"",'Euro 2008 Schedule'!J63&lt;&gt;""),'Euro 2008 Schedule'!J63,0)</f>
        <v>0</v>
      </c>
      <c r="AV16" s="2">
        <v>1</v>
      </c>
      <c r="AW16" s="2">
        <f t="shared" si="2"/>
      </c>
      <c r="AX16" s="2">
        <f t="shared" si="3"/>
      </c>
      <c r="AY16" s="2">
        <f t="shared" si="4"/>
      </c>
      <c r="AZ16" s="2">
        <f t="shared" si="5"/>
      </c>
      <c r="BA16" s="2">
        <f t="shared" si="6"/>
      </c>
      <c r="BB16" s="2">
        <f t="shared" si="1"/>
      </c>
      <c r="BC16" s="2">
        <v>14</v>
      </c>
      <c r="BD16" s="2" t="str">
        <f>'Euro 2008 Schedule'!G64</f>
        <v>Netherlands</v>
      </c>
      <c r="BE16" s="2">
        <f>IF(AND('Euro 2008 Schedule'!H64&lt;&gt;"",'Euro 2008 Schedule'!J64&lt;&gt;""),'Euro 2008 Schedule'!H64,"")</f>
      </c>
      <c r="BF16" s="2">
        <f>IF(AND('Euro 2008 Schedule'!J64&lt;&gt;"",'Euro 2008 Schedule'!H64&lt;&gt;""),'Euro 2008 Schedule'!J64,"")</f>
      </c>
      <c r="BG16" s="2" t="str">
        <f>'Euro 2008 Schedule'!L64</f>
        <v>France</v>
      </c>
    </row>
    <row r="17" spans="9:59" ht="12.75">
      <c r="I17" s="29"/>
      <c r="S17" s="29"/>
      <c r="AF17" s="29"/>
      <c r="AM17" s="2">
        <v>14</v>
      </c>
      <c r="AN17" s="2">
        <f>IF(AND('Euro 2008 Schedule'!H64&lt;&gt;"",'Euro 2008 Schedule'!J64&lt;&gt;""),IF('Euro 2008 Schedule'!H64&gt;'Euro 2008 Schedule'!J64,'Euro 2008 Schedule'!G64,""),"")</f>
      </c>
      <c r="AO17" s="2">
        <f>IF(AND('Euro 2008 Schedule'!H64&lt;&gt;"",'Euro 2008 Schedule'!J64&lt;&gt;""),IF('Euro 2008 Schedule'!H64='Euro 2008 Schedule'!J64,'Euro 2008 Schedule'!G64,""),"")</f>
      </c>
      <c r="AP17" s="2">
        <f>IF(AND('Euro 2008 Schedule'!H64&lt;&gt;"",'Euro 2008 Schedule'!J64&lt;&gt;""),IF('Euro 2008 Schedule'!H64&gt;'Euro 2008 Schedule'!J64,'Euro 2008 Schedule'!L64,""),"")</f>
      </c>
      <c r="AQ17" s="2">
        <f>IF(AND('Euro 2008 Schedule'!H64&lt;&gt;"",'Euro 2008 Schedule'!J64&lt;&gt;""),'Euro 2008 Schedule'!H64,0)</f>
        <v>0</v>
      </c>
      <c r="AR17" s="2">
        <f>IF(AND('Euro 2008 Schedule'!H64&lt;&gt;"",'Euro 2008 Schedule'!J64&lt;&gt;""),IF('Euro 2008 Schedule'!H64&lt;'Euro 2008 Schedule'!J64,'Euro 2008 Schedule'!L64,""),"")</f>
      </c>
      <c r="AS17" s="2">
        <f>IF(AND('Euro 2008 Schedule'!H64&lt;&gt;"",'Euro 2008 Schedule'!J64&lt;&gt;""),IF('Euro 2008 Schedule'!H64='Euro 2008 Schedule'!J64,'Euro 2008 Schedule'!L64,""),"")</f>
      </c>
      <c r="AT17" s="2">
        <f>IF(AND('Euro 2008 Schedule'!H64&lt;&gt;"",'Euro 2008 Schedule'!J64&lt;&gt;""),IF('Euro 2008 Schedule'!H64&lt;'Euro 2008 Schedule'!J64,'Euro 2008 Schedule'!G64,""),"")</f>
      </c>
      <c r="AU17" s="2">
        <f>IF(AND('Euro 2008 Schedule'!H64&lt;&gt;"",'Euro 2008 Schedule'!J64&lt;&gt;""),'Euro 2008 Schedule'!J64,0)</f>
        <v>0</v>
      </c>
      <c r="AV17" s="2">
        <v>1</v>
      </c>
      <c r="AW17" s="2">
        <f t="shared" si="2"/>
      </c>
      <c r="AX17" s="2">
        <f t="shared" si="3"/>
      </c>
      <c r="AY17" s="2">
        <f t="shared" si="4"/>
      </c>
      <c r="AZ17" s="2">
        <f t="shared" si="5"/>
      </c>
      <c r="BA17" s="2">
        <f t="shared" si="6"/>
      </c>
      <c r="BB17" s="2">
        <f t="shared" si="1"/>
      </c>
      <c r="BC17" s="2">
        <v>15</v>
      </c>
      <c r="BD17" s="2" t="str">
        <f>'Euro 2008 Schedule'!G82</f>
        <v>Sweden</v>
      </c>
      <c r="BE17" s="2">
        <f>IF(AND('Euro 2008 Schedule'!H82&lt;&gt;"",'Euro 2008 Schedule'!J82&lt;&gt;""),'Euro 2008 Schedule'!H82,"")</f>
      </c>
      <c r="BF17" s="2">
        <f>IF(AND('Euro 2008 Schedule'!J82&lt;&gt;"",'Euro 2008 Schedule'!H82&lt;&gt;""),'Euro 2008 Schedule'!J82,"")</f>
      </c>
      <c r="BG17" s="2" t="str">
        <f>'Euro 2008 Schedule'!L82</f>
        <v>Spain</v>
      </c>
    </row>
    <row r="18" spans="1:59" ht="12.75">
      <c r="A18" s="2">
        <f>K18+L18+M18+N18</f>
        <v>1</v>
      </c>
      <c r="B18" s="2" t="str">
        <f>'Euro 2008 Schedule'!G61</f>
        <v>Netherlands</v>
      </c>
      <c r="C18" s="2">
        <f>SUMIF(AN$4:AN$27,B18,AV$4:AV$27)+SUMIF(AR$4:AR$27,B18,AV$4:AV$27)</f>
        <v>0</v>
      </c>
      <c r="D18" s="2">
        <f>SUMIF(AO$4:AO$27,B18,AV$4:AV$27)+SUMIF(AS$4:AS$27,B18,AV$4:AV$27)</f>
        <v>0</v>
      </c>
      <c r="E18" s="2">
        <f>SUMIF(AP$4:AP$27,B18,AV$4:AV$27)+SUMIF(AT$4:AT$27,B18,AV$4:AV$27)</f>
        <v>0</v>
      </c>
      <c r="F18" s="2">
        <f>SUMIF($BD$3:$BD$26,B18,$BE$3:$BE$26)+SUMIF($BG$3:$BG$26,B18,$BF$3:$BF$26)</f>
        <v>0</v>
      </c>
      <c r="G18" s="2">
        <f>SUMIF($BG$3:$BG$26,B18,$BE$3:$BE$26)+SUMIF($BD$3:$BD$26,B18,$BF$3:$BF$26)</f>
        <v>0</v>
      </c>
      <c r="H18" s="2">
        <f>F18-G18+100</f>
        <v>100</v>
      </c>
      <c r="I18" s="29">
        <f>C18*3+D18</f>
        <v>0</v>
      </c>
      <c r="J18" s="2">
        <v>2417</v>
      </c>
      <c r="K18" s="2">
        <f>RANK(I18,I$18:I$21)</f>
        <v>1</v>
      </c>
      <c r="L18" s="2">
        <f>SUMPRODUCT((I$18:I$21=I18)*(H$18:H$21&gt;H18))</f>
        <v>0</v>
      </c>
      <c r="M18" s="2">
        <f>SUMPRODUCT((I$18:I$21=I18)*(H$18:H$21=H18)*(F$18:F$21&gt;F18))</f>
        <v>0</v>
      </c>
      <c r="N18" s="2">
        <f>SUMPRODUCT((I$18:I$21=I18)*(H$18:H$21=H18)*(F$18:F$21=F18)*(J$18:J$21&gt;J18))</f>
        <v>0</v>
      </c>
      <c r="O18" s="2">
        <f>X18</f>
        <v>1</v>
      </c>
      <c r="P18" s="2" t="str">
        <f>VLOOKUP(1,A$18:B$21,2,FALSE)</f>
        <v>Netherlands</v>
      </c>
      <c r="Q18" s="2">
        <f>SUMIF(B$4:B$28,P18,F$4:F$28)</f>
        <v>0</v>
      </c>
      <c r="R18" s="2">
        <f>SUMIF(B$4:B$28,P18,H$4:H$28)</f>
        <v>100</v>
      </c>
      <c r="S18" s="29">
        <f>SUMIF(B$4:B$28,P18,I$4:I$28)</f>
        <v>0</v>
      </c>
      <c r="T18" s="2">
        <f aca="true" t="shared" si="8" ref="T18:V21">SUMIF($B$4:$B$28,$P18,K$4:K$28)</f>
        <v>1</v>
      </c>
      <c r="U18" s="2">
        <f t="shared" si="8"/>
        <v>0</v>
      </c>
      <c r="V18" s="2">
        <f t="shared" si="8"/>
        <v>0</v>
      </c>
      <c r="W18" s="2">
        <f>SUMIF($B$4:$B$28,$P18,J$4:J$28)</f>
        <v>2417</v>
      </c>
      <c r="X18" s="2">
        <f>IF(Y18=0,T18,T18+AG18+AH18+AI18+AJ18+AK18+AL18)</f>
        <v>1</v>
      </c>
      <c r="Y18" s="2" t="str">
        <f>IF(COUNTIF(S$18:S$21,S18)=1,0,P18)</f>
        <v>Netherlands</v>
      </c>
      <c r="Z18" s="2">
        <f>SUMIF($AW$4:$AW$27,Y18,$AV$4:$AV$27)+SUMIF($AZ$4:$AZ$27,Y18,$AV$4:$AV$27)</f>
        <v>0</v>
      </c>
      <c r="AA18" s="2">
        <f>SUMIF($AX$4:$AX$27,$Y18,$AV$4:$AV$27)+SUMIF($BA$4:$BA$27,$Y18,$AV$4:$AV$27)</f>
        <v>0</v>
      </c>
      <c r="AB18" s="2">
        <f>SUMIF($AY$4:$AY$27,$Y18,$AV$4:$AV$27)+SUMIF($BB$4:$BB$27,$Y18,$AV$4:$AV$27)</f>
        <v>0</v>
      </c>
      <c r="AC18" s="2">
        <f>SUMIF(AW$4:AW$27,Y18,AQ$4:AQ$27)+SUMIF(AZ$4:AZ$27,Y18,AU$4:AU$27)+SUMIF(AX$4:AX$27,Y18,AQ$4:AQ$27)+SUMIF(BA$4:BA$27,Y18,AU$4:AU$27)</f>
        <v>0</v>
      </c>
      <c r="AD18" s="2">
        <f>SUMIF(AY$4:AY$27,Y18,AQ$4:AQ$27)+SUMIF(BB$4:BB$27,Y18,AU$4:AU$27)+SUMIF(AX$4:AX$27,Y18,AQ$4:AQ$27)+SUMIF(BA$4:BA$27,Y18,AU$4:AU$27)</f>
        <v>0</v>
      </c>
      <c r="AE18" s="2">
        <f>AC18-AD18+100</f>
        <v>100</v>
      </c>
      <c r="AF18" s="29">
        <f>IF(Y18&lt;&gt;0,Z18*3+AA18,"")</f>
        <v>0</v>
      </c>
      <c r="AG18" s="2">
        <f>IF(Y18&lt;&gt;0,RANK(AF18,AF$18:AF$21)-1,5)</f>
        <v>0</v>
      </c>
      <c r="AH18" s="2">
        <f>IF(Y18&lt;&gt;0,SUMPRODUCT((AF$18:AF$21=AF18)*(AE$18:AE$21&gt;AE18)),5)</f>
        <v>0</v>
      </c>
      <c r="AI18" s="2">
        <f>IF(Y18&lt;&gt;0,SUMPRODUCT((AF$18:AF$21=AF18)*(AE$18:AE$21=AE18)*(AC$18:AC$21&gt;AC18)),5)</f>
        <v>0</v>
      </c>
      <c r="AJ18" s="2">
        <f>IF(Y18&lt;&gt;0,SUMPRODUCT(($AF$18:$AF$21=AF18)*($AE$18:$AE$21=AE18)*($AC$18:$AC$21=AC18)*($R$18:$R$21&gt;R18)),5)</f>
        <v>0</v>
      </c>
      <c r="AK18" s="2">
        <f>IF(Y18&lt;&gt;0,SUMPRODUCT(($AF$18:$AF$21=AF18)*($AE$18:$AE$21=AE18)*($AC$18:$AC$21=AC18)*($R$18:$R$21=R18)*($Q$18:$Q$21&gt;Q18)),5)</f>
        <v>0</v>
      </c>
      <c r="AL18" s="2">
        <f>IF($Y18&lt;&gt;0,SUMPRODUCT(($AF$18:$AF$21=$AF18)*($AE$18:$AE$21=$AE18)*($AC$18:$AC$21=$AC18)*($R$18:$R$21=$R18)*($Q$18:$Q$21=$Q18)*($W$18:$W$21&gt;$W18)),5)</f>
        <v>0</v>
      </c>
      <c r="AM18" s="2">
        <v>15</v>
      </c>
      <c r="AN18" s="2">
        <f>IF(AND('Euro 2008 Schedule'!H82&lt;&gt;"",'Euro 2008 Schedule'!J82&lt;&gt;""),IF('Euro 2008 Schedule'!H82&gt;'Euro 2008 Schedule'!J82,'Euro 2008 Schedule'!G82,""),"")</f>
      </c>
      <c r="AO18" s="2">
        <f>IF(AND('Euro 2008 Schedule'!H82&lt;&gt;"",'Euro 2008 Schedule'!J82&lt;&gt;""),IF('Euro 2008 Schedule'!H82='Euro 2008 Schedule'!J82,'Euro 2008 Schedule'!G82,""),"")</f>
      </c>
      <c r="AP18" s="2">
        <f>IF(AND('Euro 2008 Schedule'!H82&lt;&gt;"",'Euro 2008 Schedule'!J82&lt;&gt;""),IF('Euro 2008 Schedule'!H82&gt;'Euro 2008 Schedule'!J82,'Euro 2008 Schedule'!L82,""),"")</f>
      </c>
      <c r="AQ18" s="2">
        <f>IF(AND('Euro 2008 Schedule'!H82&lt;&gt;"",'Euro 2008 Schedule'!J82&lt;&gt;""),'Euro 2008 Schedule'!H82,0)</f>
        <v>0</v>
      </c>
      <c r="AR18" s="2">
        <f>IF(AND('Euro 2008 Schedule'!H82&lt;&gt;"",'Euro 2008 Schedule'!J82&lt;&gt;""),IF('Euro 2008 Schedule'!H82&lt;'Euro 2008 Schedule'!J82,'Euro 2008 Schedule'!L82,""),"")</f>
      </c>
      <c r="AS18" s="2">
        <f>IF(AND('Euro 2008 Schedule'!H82&lt;&gt;"",'Euro 2008 Schedule'!J82&lt;&gt;""),IF('Euro 2008 Schedule'!H82='Euro 2008 Schedule'!J82,'Euro 2008 Schedule'!L82,""),"")</f>
      </c>
      <c r="AT18" s="2">
        <f>IF(AND('Euro 2008 Schedule'!H82&lt;&gt;"",'Euro 2008 Schedule'!J82&lt;&gt;""),IF('Euro 2008 Schedule'!H82&lt;'Euro 2008 Schedule'!J82,'Euro 2008 Schedule'!G82,""),"")</f>
      </c>
      <c r="AU18" s="2">
        <f>IF(AND('Euro 2008 Schedule'!H82&lt;&gt;"",'Euro 2008 Schedule'!J82&lt;&gt;""),'Euro 2008 Schedule'!J82,0)</f>
        <v>0</v>
      </c>
      <c r="AV18" s="2">
        <v>1</v>
      </c>
      <c r="AW18" s="2">
        <f t="shared" si="2"/>
      </c>
      <c r="AX18" s="2">
        <f t="shared" si="3"/>
      </c>
      <c r="AY18" s="2">
        <f t="shared" si="4"/>
      </c>
      <c r="AZ18" s="2">
        <f t="shared" si="5"/>
      </c>
      <c r="BA18" s="2">
        <f t="shared" si="6"/>
      </c>
      <c r="BB18" s="2">
        <f t="shared" si="1"/>
      </c>
      <c r="BC18" s="2">
        <v>16</v>
      </c>
      <c r="BD18" s="2" t="str">
        <f>'Euro 2008 Schedule'!G83</f>
        <v>Greece</v>
      </c>
      <c r="BE18" s="2">
        <f>IF(AND('Euro 2008 Schedule'!H83&lt;&gt;"",'Euro 2008 Schedule'!J83&lt;&gt;""),'Euro 2008 Schedule'!H83,"")</f>
      </c>
      <c r="BF18" s="2">
        <f>IF(AND('Euro 2008 Schedule'!J83&lt;&gt;"",'Euro 2008 Schedule'!H83&lt;&gt;""),'Euro 2008 Schedule'!J83,"")</f>
      </c>
      <c r="BG18" s="2" t="str">
        <f>'Euro 2008 Schedule'!L83</f>
        <v>Russia</v>
      </c>
    </row>
    <row r="19" spans="1:59" ht="12.75">
      <c r="A19" s="2">
        <f>K19+L19+M19+N19</f>
        <v>2</v>
      </c>
      <c r="B19" s="2" t="str">
        <f>'Euro 2008 Schedule'!L61</f>
        <v>Italy</v>
      </c>
      <c r="C19" s="2">
        <f>SUMIF(AN$4:AN$27,B19,AV$4:AV$27)+SUMIF(AR$4:AR$27,B19,AV$4:AV$27)</f>
        <v>0</v>
      </c>
      <c r="D19" s="2">
        <f>SUMIF(AO$4:AO$27,B19,AV$4:AV$27)+SUMIF(AS$4:AS$27,B19,AV$4:AV$27)</f>
        <v>0</v>
      </c>
      <c r="E19" s="2">
        <f>SUMIF(AP$4:AP$27,B19,AV$4:AV$27)+SUMIF(AT$4:AT$27,B19,AV$4:AV$27)</f>
        <v>0</v>
      </c>
      <c r="F19" s="2">
        <f>SUMIF($BD$3:$BD$26,B19,$BE$3:$BE$26)+SUMIF($BG$3:$BG$26,B19,$BF$3:$BF$26)</f>
        <v>0</v>
      </c>
      <c r="G19" s="2">
        <f>SUMIF($BG$3:$BG$26,B19,$BE$3:$BE$26)+SUMIF($BD$3:$BD$26,B19,$BF$3:$BF$26)</f>
        <v>0</v>
      </c>
      <c r="H19" s="2">
        <f>F19-G19+100</f>
        <v>100</v>
      </c>
      <c r="I19" s="29">
        <f>C19*3+D19</f>
        <v>0</v>
      </c>
      <c r="J19" s="2">
        <v>2364</v>
      </c>
      <c r="K19" s="2">
        <f>RANK(I19,I$18:I$21)</f>
        <v>1</v>
      </c>
      <c r="L19" s="2">
        <f>SUMPRODUCT((I$18:I$21=I19)*(H$18:H$21&gt;H19))</f>
        <v>0</v>
      </c>
      <c r="M19" s="2">
        <f>SUMPRODUCT((I$18:I$21=I19)*(H$18:H$21=H19)*(F$18:F$21&gt;F19))</f>
        <v>0</v>
      </c>
      <c r="N19" s="2">
        <f>SUMPRODUCT((I$18:I$21=I19)*(H$18:H$21=H19)*(F$18:F$21=F19)*(J$18:J$21&gt;J19))</f>
        <v>1</v>
      </c>
      <c r="O19" s="2">
        <f>X19</f>
        <v>2</v>
      </c>
      <c r="P19" s="2" t="str">
        <f>VLOOKUP(2,A$18:B$21,2,FALSE)</f>
        <v>Italy</v>
      </c>
      <c r="Q19" s="2">
        <f>SUMIF(B$4:B$28,P19,F$4:F$28)</f>
        <v>0</v>
      </c>
      <c r="R19" s="2">
        <f>SUMIF(B$4:B$28,P19,H$4:H$28)</f>
        <v>100</v>
      </c>
      <c r="S19" s="29">
        <f>SUMIF(B$4:B$28,P19,I$4:I$28)</f>
        <v>0</v>
      </c>
      <c r="T19" s="2">
        <f t="shared" si="8"/>
        <v>1</v>
      </c>
      <c r="U19" s="2">
        <f t="shared" si="8"/>
        <v>0</v>
      </c>
      <c r="V19" s="2">
        <f t="shared" si="8"/>
        <v>0</v>
      </c>
      <c r="W19" s="2">
        <f>SUMIF($B$4:$B$28,$P19,J$4:J$28)</f>
        <v>2364</v>
      </c>
      <c r="X19" s="2">
        <f>IF(Y19=0,T19,T19+AG19+AH19+AI19+AJ19+AK19+AL19)</f>
        <v>2</v>
      </c>
      <c r="Y19" s="2" t="str">
        <f>IF(COUNTIF(S$18:S$21,S19)=1,0,P19)</f>
        <v>Italy</v>
      </c>
      <c r="Z19" s="2">
        <f>SUMIF($AW$4:$AW$27,Y19,$AV$4:$AV$27)+SUMIF($AZ$4:$AZ$27,Y19,$AV$4:$AV$27)</f>
        <v>0</v>
      </c>
      <c r="AA19" s="2">
        <f>SUMIF($AX$4:$AX$27,$Y19,$AV$4:$AV$27)+SUMIF($BA$4:$BA$27,$Y19,$AV$4:$AV$27)</f>
        <v>0</v>
      </c>
      <c r="AB19" s="2">
        <f>SUMIF($AY$4:$AY$27,$Y19,$AV$4:$AV$27)+SUMIF($BB$4:$BB$27,$Y19,$AV$4:$AV$27)</f>
        <v>0</v>
      </c>
      <c r="AC19" s="2">
        <f>SUMIF(AW$4:AW$27,Y19,AQ$4:AQ$27)+SUMIF(AZ$4:AZ$27,Y19,AU$4:AU$27)+SUMIF(AX$4:AX$27,Y19,AQ$4:AQ$27)+SUMIF(BA$4:BA$27,Y19,AU$4:AU$27)</f>
        <v>0</v>
      </c>
      <c r="AD19" s="2">
        <f>SUMIF(AY$4:AY$27,Y19,AQ$4:AQ$27)+SUMIF(BB$4:BB$27,Y19,AU$4:AU$27)+SUMIF(AX$4:AX$27,Y19,AQ$4:AQ$27)+SUMIF(BA$4:BA$27,Y19,AU$4:AU$27)</f>
        <v>0</v>
      </c>
      <c r="AE19" s="2">
        <f>AC19-AD19+100</f>
        <v>100</v>
      </c>
      <c r="AF19" s="29">
        <f>IF(Y19&lt;&gt;0,Z19*3+AA19,"")</f>
        <v>0</v>
      </c>
      <c r="AG19" s="2">
        <f>IF(Y19&lt;&gt;0,RANK(AF19,AF$18:AF$21)-1,5)</f>
        <v>0</v>
      </c>
      <c r="AH19" s="2">
        <f>IF(Y19&lt;&gt;0,SUMPRODUCT((AF$18:AF$21=AF19)*(AE$18:AE$21&gt;AE19)),5)</f>
        <v>0</v>
      </c>
      <c r="AI19" s="2">
        <f>IF(Y19&lt;&gt;0,SUMPRODUCT((AF$18:AF$21=AF19)*(AE$18:AE$21=AE19)*(AC$18:AC$21&gt;AC19)),5)</f>
        <v>0</v>
      </c>
      <c r="AJ19" s="2">
        <f>IF(Y19&lt;&gt;0,SUMPRODUCT(($AF$18:$AF$21=AF19)*($AE$18:$AE$21=AE19)*($AC$18:$AC$21=AC19)*($R$18:$R$21&gt;R19)),5)</f>
        <v>0</v>
      </c>
      <c r="AK19" s="2">
        <f>IF(Y19&lt;&gt;0,SUMPRODUCT(($AF$18:$AF$21=AF19)*($AE$18:$AE$21=AE19)*($AC$18:$AC$21=AC19)*($R$18:$R$21=R19)*($Q$18:$Q$21&gt;Q19)),5)</f>
        <v>0</v>
      </c>
      <c r="AL19" s="2">
        <f>IF($Y19&lt;&gt;0,SUMPRODUCT(($AF$18:$AF$21=$AF19)*($AE$18:$AE$21=$AE19)*($AC$18:$AC$21=$AC19)*($R$18:$R$21=$R19)*($Q$18:$Q$21=$Q19)*($W$18:$W$21&gt;$W19)),5)</f>
        <v>1</v>
      </c>
      <c r="AM19" s="2">
        <v>16</v>
      </c>
      <c r="AN19" s="2">
        <f>IF(AND('Euro 2008 Schedule'!H83&lt;&gt;"",'Euro 2008 Schedule'!J83&lt;&gt;""),IF('Euro 2008 Schedule'!H83&gt;'Euro 2008 Schedule'!J83,'Euro 2008 Schedule'!G83,""),"")</f>
      </c>
      <c r="AO19" s="2">
        <f>IF(AND('Euro 2008 Schedule'!H83&lt;&gt;"",'Euro 2008 Schedule'!J83&lt;&gt;""),IF('Euro 2008 Schedule'!H83='Euro 2008 Schedule'!J83,'Euro 2008 Schedule'!G83,""),"")</f>
      </c>
      <c r="AP19" s="2">
        <f>IF(AND('Euro 2008 Schedule'!H83&lt;&gt;"",'Euro 2008 Schedule'!J83&lt;&gt;""),IF('Euro 2008 Schedule'!H83&gt;'Euro 2008 Schedule'!J83,'Euro 2008 Schedule'!L83,""),"")</f>
      </c>
      <c r="AQ19" s="2">
        <f>IF(AND('Euro 2008 Schedule'!H83&lt;&gt;"",'Euro 2008 Schedule'!J83&lt;&gt;""),'Euro 2008 Schedule'!H83,0)</f>
        <v>0</v>
      </c>
      <c r="AR19" s="2">
        <f>IF(AND('Euro 2008 Schedule'!H83&lt;&gt;"",'Euro 2008 Schedule'!J83&lt;&gt;""),IF('Euro 2008 Schedule'!H83&lt;'Euro 2008 Schedule'!J83,'Euro 2008 Schedule'!L83,""),"")</f>
      </c>
      <c r="AS19" s="2">
        <f>IF(AND('Euro 2008 Schedule'!H83&lt;&gt;"",'Euro 2008 Schedule'!J83&lt;&gt;""),IF('Euro 2008 Schedule'!H83='Euro 2008 Schedule'!J83,'Euro 2008 Schedule'!L83,""),"")</f>
      </c>
      <c r="AT19" s="2">
        <f>IF(AND('Euro 2008 Schedule'!H83&lt;&gt;"",'Euro 2008 Schedule'!J83&lt;&gt;""),IF('Euro 2008 Schedule'!H83&lt;'Euro 2008 Schedule'!J83,'Euro 2008 Schedule'!G83,""),"")</f>
      </c>
      <c r="AU19" s="2">
        <f>IF(AND('Euro 2008 Schedule'!H83&lt;&gt;"",'Euro 2008 Schedule'!J83&lt;&gt;""),'Euro 2008 Schedule'!J83,0)</f>
        <v>0</v>
      </c>
      <c r="AV19" s="2">
        <v>1</v>
      </c>
      <c r="AW19" s="2">
        <f t="shared" si="2"/>
      </c>
      <c r="AX19" s="2">
        <f t="shared" si="3"/>
      </c>
      <c r="AY19" s="2">
        <f t="shared" si="4"/>
      </c>
      <c r="AZ19" s="2">
        <f t="shared" si="5"/>
      </c>
      <c r="BA19" s="2">
        <f t="shared" si="6"/>
      </c>
      <c r="BB19" s="2">
        <f t="shared" si="1"/>
      </c>
      <c r="BC19" s="2">
        <v>17</v>
      </c>
      <c r="BD19" s="2" t="str">
        <f>'Euro 2008 Schedule'!G28</f>
        <v>Switzerland</v>
      </c>
      <c r="BE19" s="2">
        <f>IF(AND('Euro 2008 Schedule'!H28&lt;&gt;"",'Euro 2008 Schedule'!J28&lt;&gt;""),'Euro 2008 Schedule'!H28,"")</f>
      </c>
      <c r="BF19" s="2">
        <f>IF(AND('Euro 2008 Schedule'!J28&lt;&gt;"",'Euro 2008 Schedule'!H28&lt;&gt;""),'Euro 2008 Schedule'!J28,"")</f>
      </c>
      <c r="BG19" s="2" t="str">
        <f>'Euro 2008 Schedule'!L28</f>
        <v>Portugal</v>
      </c>
    </row>
    <row r="20" spans="1:59" ht="12.75">
      <c r="A20" s="2">
        <f>K20+L20+M20+N20</f>
        <v>3</v>
      </c>
      <c r="B20" s="2" t="str">
        <f>'Euro 2008 Schedule'!G60</f>
        <v>Romania</v>
      </c>
      <c r="C20" s="2">
        <f>SUMIF(AN$4:AN$27,B20,AV$4:AV$27)+SUMIF(AR$4:AR$27,B20,AV$4:AV$27)</f>
        <v>0</v>
      </c>
      <c r="D20" s="2">
        <f>SUMIF(AO$4:AO$27,B20,AV$4:AV$27)+SUMIF(AS$4:AS$27,B20,AV$4:AV$27)</f>
        <v>0</v>
      </c>
      <c r="E20" s="2">
        <f>SUMIF(AP$4:AP$27,B20,AV$4:AV$27)+SUMIF(AT$4:AT$27,B20,AV$4:AV$27)</f>
        <v>0</v>
      </c>
      <c r="F20" s="2">
        <f>SUMIF($BD$3:$BD$26,B20,$BE$3:$BE$26)+SUMIF($BG$3:$BG$26,B20,$BF$3:$BF$26)</f>
        <v>0</v>
      </c>
      <c r="G20" s="2">
        <f>SUMIF($BG$3:$BG$26,B20,$BE$3:$BE$26)+SUMIF($BD$3:$BD$26,B20,$BF$3:$BF$26)</f>
        <v>0</v>
      </c>
      <c r="H20" s="2">
        <f>F20-G20+100</f>
        <v>100</v>
      </c>
      <c r="I20" s="29">
        <f>C20*3+D20</f>
        <v>0</v>
      </c>
      <c r="J20" s="2">
        <v>2250</v>
      </c>
      <c r="K20" s="2">
        <f>RANK(I20,I$18:I$21)</f>
        <v>1</v>
      </c>
      <c r="L20" s="2">
        <f>SUMPRODUCT((I$18:I$21=I20)*(H$18:H$21&gt;H20))</f>
        <v>0</v>
      </c>
      <c r="M20" s="2">
        <f>SUMPRODUCT((I$18:I$21=I20)*(H$18:H$21=H20)*(F$18:F$21&gt;F20))</f>
        <v>0</v>
      </c>
      <c r="N20" s="2">
        <f>SUMPRODUCT((I$18:I$21=I20)*(H$18:H$21=H20)*(F$18:F$21=F20)*(J$18:J$21&gt;J20))</f>
        <v>2</v>
      </c>
      <c r="O20" s="2">
        <f>IF(X20=5,3,IF(X20=6,4,X20))</f>
        <v>3</v>
      </c>
      <c r="P20" s="2" t="str">
        <f>VLOOKUP(3,A$18:B$21,2,FALSE)</f>
        <v>Romania</v>
      </c>
      <c r="Q20" s="2">
        <f>SUMIF(B$4:B$28,P20,F$4:F$28)</f>
        <v>0</v>
      </c>
      <c r="R20" s="2">
        <f>SUMIF(B$4:B$28,P20,H$4:H$28)</f>
        <v>100</v>
      </c>
      <c r="S20" s="29">
        <f>SUMIF(B$4:B$28,P20,I$4:I$28)</f>
        <v>0</v>
      </c>
      <c r="T20" s="2">
        <f t="shared" si="8"/>
        <v>1</v>
      </c>
      <c r="U20" s="2">
        <f t="shared" si="8"/>
        <v>0</v>
      </c>
      <c r="V20" s="2">
        <f t="shared" si="8"/>
        <v>0</v>
      </c>
      <c r="W20" s="2">
        <f>SUMIF($B$4:$B$28,$P20,J$4:J$28)</f>
        <v>2250</v>
      </c>
      <c r="X20" s="2">
        <f>IF(Y20=0,T20,T20+AG20+AH20+AI20+AJ20+AK20+AL20)</f>
        <v>3</v>
      </c>
      <c r="Y20" s="2" t="str">
        <f>IF(S20=S19,IF(COUNTIF(S$18:S$21,S20)=1,0,P20),0)</f>
        <v>Romania</v>
      </c>
      <c r="Z20" s="2">
        <f>SUMIF($AW$4:$AW$27,Y20,$AV$4:$AV$27)+SUMIF($AZ$4:$AZ$27,Y20,$AV$4:$AV$27)</f>
        <v>0</v>
      </c>
      <c r="AA20" s="2">
        <f>SUMIF($AX$4:$AX$27,$Y20,$AV$4:$AV$27)+SUMIF($BA$4:$BA$27,$Y20,$AV$4:$AV$27)</f>
        <v>0</v>
      </c>
      <c r="AB20" s="2">
        <f>SUMIF($AY$4:$AY$27,$Y20,$AV$4:$AV$27)+SUMIF($BB$4:$BB$27,$Y20,$AV$4:$AV$27)</f>
        <v>0</v>
      </c>
      <c r="AC20" s="2">
        <f>SUMIF(AW$4:AW$27,Y20,AQ$4:AQ$27)+SUMIF(AZ$4:AZ$27,Y20,AU$4:AU$27)+SUMIF(AX$4:AX$27,Y20,AQ$4:AQ$27)+SUMIF(BA$4:BA$27,Y20,AU$4:AU$27)</f>
        <v>0</v>
      </c>
      <c r="AD20" s="2">
        <f>SUMIF(AY$4:AY$27,Y20,AQ$4:AQ$27)+SUMIF(BB$4:BB$27,Y20,AU$4:AU$27)+SUMIF(AX$4:AX$27,Y20,AQ$4:AQ$27)+SUMIF(BA$4:BA$27,Y20,AU$4:AU$27)</f>
        <v>0</v>
      </c>
      <c r="AE20" s="2">
        <f>AC20-AD20+100</f>
        <v>100</v>
      </c>
      <c r="AF20" s="29">
        <f>IF(Y20&lt;&gt;0,Z20*3+AA20,"")</f>
        <v>0</v>
      </c>
      <c r="AG20" s="2">
        <f>IF(Y20&lt;&gt;0,RANK(AF20,AF$18:AF$21)-1,5)</f>
        <v>0</v>
      </c>
      <c r="AH20" s="2">
        <f>IF(Y20&lt;&gt;0,SUMPRODUCT((AF$18:AF$21=AF20)*(AE$18:AE$21&gt;AE20)),5)</f>
        <v>0</v>
      </c>
      <c r="AI20" s="2">
        <f>IF(Y20&lt;&gt;0,SUMPRODUCT((AF$18:AF$21=AF20)*(AE$18:AE$21=AE20)*(AC$18:AC$21&gt;AC20)),5)</f>
        <v>0</v>
      </c>
      <c r="AJ20" s="2">
        <f>IF(Y20&lt;&gt;0,SUMPRODUCT(($AF$18:$AF$21=AF20)*($AE$18:$AE$21=AE20)*($AC$18:$AC$21=AC20)*($R$18:$R$21&gt;R20)),5)</f>
        <v>0</v>
      </c>
      <c r="AK20" s="2">
        <f>IF(Y20&lt;&gt;0,SUMPRODUCT(($AF$18:$AF$21=AF20)*($AE$18:$AE$21=AE20)*($AC$18:$AC$21=AC20)*($R$18:$R$21=R20)*($Q$18:$Q$21&gt;Q20)),5)</f>
        <v>0</v>
      </c>
      <c r="AL20" s="2">
        <f>IF($Y20&lt;&gt;0,SUMPRODUCT(($AF$18:$AF$21=$AF20)*($AE$18:$AE$21=$AE20)*($AC$18:$AC$21=$AC20)*($R$18:$R$21=$R20)*($Q$18:$Q$21=$Q20)*($W$18:$W$21&gt;$W20)),5)</f>
        <v>2</v>
      </c>
      <c r="AM20" s="2">
        <v>17</v>
      </c>
      <c r="AN20" s="2">
        <f>IF(AND('Euro 2008 Schedule'!H28&lt;&gt;"",'Euro 2008 Schedule'!J28&lt;&gt;""),IF('Euro 2008 Schedule'!H28&gt;'Euro 2008 Schedule'!J28,'Euro 2008 Schedule'!G28,""),"")</f>
      </c>
      <c r="AO20" s="2">
        <f>IF(AND('Euro 2008 Schedule'!H28&lt;&gt;"",'Euro 2008 Schedule'!J28&lt;&gt;""),IF('Euro 2008 Schedule'!H28='Euro 2008 Schedule'!J28,'Euro 2008 Schedule'!G28,""),"")</f>
      </c>
      <c r="AP20" s="2">
        <f>IF(AND('Euro 2008 Schedule'!H28&lt;&gt;"",'Euro 2008 Schedule'!J28&lt;&gt;""),IF('Euro 2008 Schedule'!H28&gt;'Euro 2008 Schedule'!J28,'Euro 2008 Schedule'!L28,""),"")</f>
      </c>
      <c r="AQ20" s="2">
        <f>IF(AND('Euro 2008 Schedule'!H28&lt;&gt;"",'Euro 2008 Schedule'!J28&lt;&gt;""),'Euro 2008 Schedule'!H28,0)</f>
        <v>0</v>
      </c>
      <c r="AR20" s="2">
        <f>IF(AND('Euro 2008 Schedule'!H28&lt;&gt;"",'Euro 2008 Schedule'!J28&lt;&gt;""),IF('Euro 2008 Schedule'!H28&lt;'Euro 2008 Schedule'!J28,'Euro 2008 Schedule'!L28,""),"")</f>
      </c>
      <c r="AS20" s="2">
        <f>IF(AND('Euro 2008 Schedule'!H28&lt;&gt;"",'Euro 2008 Schedule'!J28&lt;&gt;""),IF('Euro 2008 Schedule'!H28='Euro 2008 Schedule'!J28,'Euro 2008 Schedule'!L28,""),"")</f>
      </c>
      <c r="AT20" s="2">
        <f>IF(AND('Euro 2008 Schedule'!H28&lt;&gt;"",'Euro 2008 Schedule'!J28&lt;&gt;""),IF('Euro 2008 Schedule'!H28&lt;'Euro 2008 Schedule'!J28,'Euro 2008 Schedule'!G28,""),"")</f>
      </c>
      <c r="AU20" s="2">
        <f>IF(AND('Euro 2008 Schedule'!H28&lt;&gt;"",'Euro 2008 Schedule'!J28&lt;&gt;""),'Euro 2008 Schedule'!J28,0)</f>
        <v>0</v>
      </c>
      <c r="AV20" s="2">
        <v>1</v>
      </c>
      <c r="AW20" s="2">
        <f t="shared" si="2"/>
      </c>
      <c r="AX20" s="2">
        <f t="shared" si="3"/>
      </c>
      <c r="AY20" s="2">
        <f t="shared" si="4"/>
      </c>
      <c r="AZ20" s="2">
        <f t="shared" si="5"/>
      </c>
      <c r="BA20" s="2">
        <f t="shared" si="6"/>
      </c>
      <c r="BB20" s="2">
        <f t="shared" si="1"/>
      </c>
      <c r="BC20" s="2">
        <v>18</v>
      </c>
      <c r="BD20" s="2" t="str">
        <f>'Euro 2008 Schedule'!G29</f>
        <v>Turkey</v>
      </c>
      <c r="BE20" s="2">
        <f>IF(AND('Euro 2008 Schedule'!H29&lt;&gt;"",'Euro 2008 Schedule'!J29&lt;&gt;""),'Euro 2008 Schedule'!H29,"")</f>
      </c>
      <c r="BF20" s="2">
        <f>IF(AND('Euro 2008 Schedule'!J29&lt;&gt;"",'Euro 2008 Schedule'!H29&lt;&gt;""),'Euro 2008 Schedule'!J29,"")</f>
      </c>
      <c r="BG20" s="2" t="str">
        <f>'Euro 2008 Schedule'!L29</f>
        <v>Czech Republic</v>
      </c>
    </row>
    <row r="21" spans="1:59" ht="12.75">
      <c r="A21" s="2">
        <f>K21+L21+M21+N21</f>
        <v>4</v>
      </c>
      <c r="B21" s="2" t="str">
        <f>'Euro 2008 Schedule'!L60</f>
        <v>France</v>
      </c>
      <c r="C21" s="2">
        <f>SUMIF(AN$4:AN$27,B21,AV$4:AV$27)+SUMIF(AR$4:AR$27,B21,AV$4:AV$27)</f>
        <v>0</v>
      </c>
      <c r="D21" s="2">
        <f>SUMIF(AO$4:AO$27,B21,AV$4:AV$27)+SUMIF(AS$4:AS$27,B21,AV$4:AV$27)</f>
        <v>0</v>
      </c>
      <c r="E21" s="2">
        <f>SUMIF(AP$4:AP$27,B21,AV$4:AV$27)+SUMIF(AT$4:AT$27,B21,AV$4:AV$27)</f>
        <v>0</v>
      </c>
      <c r="F21" s="2">
        <f>SUMIF($BD$3:$BD$26,B21,$BE$3:$BE$26)+SUMIF($BG$3:$BG$26,B21,$BF$3:$BF$26)</f>
        <v>0</v>
      </c>
      <c r="G21" s="2">
        <f>SUMIF($BG$3:$BG$26,B21,$BE$3:$BE$26)+SUMIF($BD$3:$BD$26,B21,$BF$3:$BF$26)</f>
        <v>0</v>
      </c>
      <c r="H21" s="2">
        <f>F21-G21+100</f>
        <v>100</v>
      </c>
      <c r="I21" s="29">
        <f>C21*3+D21</f>
        <v>0</v>
      </c>
      <c r="J21" s="2">
        <v>2091</v>
      </c>
      <c r="K21" s="2">
        <f>RANK(I21,I$18:I$21)</f>
        <v>1</v>
      </c>
      <c r="L21" s="2">
        <f>SUMPRODUCT((I$18:I$21=I21)*(H$18:H$21&gt;H21))</f>
        <v>0</v>
      </c>
      <c r="M21" s="2">
        <f>SUMPRODUCT((I$18:I$21=I21)*(H$18:H$21=H21)*(F$18:F$21&gt;F21))</f>
        <v>0</v>
      </c>
      <c r="N21" s="2">
        <f>SUMPRODUCT((I$18:I$21=I21)*(H$18:H$21=H21)*(F$18:F$21=F21)*(J$18:J$21&gt;J21))</f>
        <v>3</v>
      </c>
      <c r="O21" s="2">
        <f>IF(X21=X20,IF(X21=3,4,X21),IF(X21=5,3,IF(X21=6,4,X21)))</f>
        <v>4</v>
      </c>
      <c r="P21" s="2" t="str">
        <f>VLOOKUP(4,A$18:B$21,2,FALSE)</f>
        <v>France</v>
      </c>
      <c r="Q21" s="2">
        <f>SUMIF(B$4:B$28,P21,F$4:F$28)</f>
        <v>0</v>
      </c>
      <c r="R21" s="2">
        <f>SUMIF(B$4:B$28,P21,H$4:H$28)</f>
        <v>100</v>
      </c>
      <c r="S21" s="29">
        <f>SUMIF(B$4:B$28,P21,I$4:I$28)</f>
        <v>0</v>
      </c>
      <c r="T21" s="2">
        <f t="shared" si="8"/>
        <v>1</v>
      </c>
      <c r="U21" s="2">
        <f t="shared" si="8"/>
        <v>0</v>
      </c>
      <c r="V21" s="2">
        <f t="shared" si="8"/>
        <v>0</v>
      </c>
      <c r="W21" s="2">
        <f>SUMIF($B$4:$B$28,$P21,J$4:J$28)</f>
        <v>2091</v>
      </c>
      <c r="X21" s="2">
        <f>IF(Y21=0,T21,T21+AG21+AH21+AI21+AJ21+AK21+AL21)</f>
        <v>4</v>
      </c>
      <c r="Y21" s="2" t="str">
        <f>IF(Y20=0,0,IF(COUNTIF(S$18:S$21,S21)=1,0,P21))</f>
        <v>France</v>
      </c>
      <c r="Z21" s="2">
        <f>SUMIF($AW$4:$AW$27,Y21,$AV$4:$AV$27)+SUMIF($AZ$4:$AZ$27,Y21,$AV$4:$AV$27)</f>
        <v>0</v>
      </c>
      <c r="AA21" s="2">
        <f>SUMIF($AX$4:$AX$27,$Y21,$AV$4:$AV$27)+SUMIF($BA$4:$BA$27,$Y21,$AV$4:$AV$27)</f>
        <v>0</v>
      </c>
      <c r="AB21" s="2">
        <f>SUMIF($AY$4:$AY$27,$Y21,$AV$4:$AV$27)+SUMIF($BB$4:$BB$27,$Y21,$AV$4:$AV$27)</f>
        <v>0</v>
      </c>
      <c r="AC21" s="2">
        <f>SUMIF(AW$4:AW$27,Y21,AQ$4:AQ$27)+SUMIF(AZ$4:AZ$27,Y21,AU$4:AU$27)+SUMIF(AX$4:AX$27,Y21,AQ$4:AQ$27)+SUMIF(BA$4:BA$27,Y21,AU$4:AU$27)</f>
        <v>0</v>
      </c>
      <c r="AD21" s="2">
        <f>SUMIF(AY$4:AY$27,Y21,AQ$4:AQ$27)+SUMIF(BB$4:BB$27,Y21,AU$4:AU$27)+SUMIF(AX$4:AX$27,Y21,AQ$4:AQ$27)+SUMIF(BA$4:BA$27,Y21,AU$4:AU$27)</f>
        <v>0</v>
      </c>
      <c r="AE21" s="2">
        <f>AC21-AD21+100</f>
        <v>100</v>
      </c>
      <c r="AF21" s="29">
        <f>IF(Y21&lt;&gt;0,Z21*3+AA21,"")</f>
        <v>0</v>
      </c>
      <c r="AG21" s="2">
        <f>IF(Y21&lt;&gt;0,RANK(AF21,AF$18:AF$21)-1,5)</f>
        <v>0</v>
      </c>
      <c r="AH21" s="2">
        <f>IF(Y21&lt;&gt;0,SUMPRODUCT((AF$18:AF$21=AF21)*(AE$18:AE$21&gt;AE21)),5)</f>
        <v>0</v>
      </c>
      <c r="AI21" s="2">
        <f>IF(Y21&lt;&gt;0,SUMPRODUCT((AF$18:AF$21=AF21)*(AE$18:AE$21=AE21)*(AC$18:AC$21&gt;AC21)),5)</f>
        <v>0</v>
      </c>
      <c r="AJ21" s="2">
        <f>IF(Y21&lt;&gt;0,SUMPRODUCT(($AF$18:$AF$21=AF21)*($AE$18:$AE$21=AE21)*($AC$18:$AC$21=AC21)*($R$18:$R$21&gt;R21)),5)</f>
        <v>0</v>
      </c>
      <c r="AK21" s="2">
        <f>IF(Y21&lt;&gt;0,SUMPRODUCT(($AF$18:$AF$21=AF21)*($AE$18:$AE$21=AE21)*($AC$18:$AC$21=AC21)*($R$18:$R$21=R21)*($Q$18:$Q$21&gt;Q21)),5)</f>
        <v>0</v>
      </c>
      <c r="AL21" s="2">
        <f>IF($Y21&lt;&gt;0,SUMPRODUCT(($AF$18:$AF$21=$AF21)*($AE$18:$AE$21=$AE21)*($AC$18:$AC$21=$AC21)*($R$18:$R$21=$R21)*($Q$18:$Q$21=$Q21)*($W$18:$W$21&gt;$W21)),5)</f>
        <v>3</v>
      </c>
      <c r="AM21" s="2">
        <v>18</v>
      </c>
      <c r="AN21" s="2">
        <f>IF(AND('Euro 2008 Schedule'!H29&lt;&gt;"",'Euro 2008 Schedule'!J29&lt;&gt;""),IF('Euro 2008 Schedule'!H29&gt;'Euro 2008 Schedule'!J29,'Euro 2008 Schedule'!G29,""),"")</f>
      </c>
      <c r="AO21" s="2">
        <f>IF(AND('Euro 2008 Schedule'!H29&lt;&gt;"",'Euro 2008 Schedule'!J29&lt;&gt;""),IF('Euro 2008 Schedule'!H29='Euro 2008 Schedule'!J29,'Euro 2008 Schedule'!G29,""),"")</f>
      </c>
      <c r="AP21" s="2">
        <f>IF(AND('Euro 2008 Schedule'!H29&lt;&gt;"",'Euro 2008 Schedule'!J29&lt;&gt;""),IF('Euro 2008 Schedule'!H29&gt;'Euro 2008 Schedule'!J29,'Euro 2008 Schedule'!L29,""),"")</f>
      </c>
      <c r="AQ21" s="2">
        <f>IF(AND('Euro 2008 Schedule'!H29&lt;&gt;"",'Euro 2008 Schedule'!J29&lt;&gt;""),'Euro 2008 Schedule'!H29,0)</f>
        <v>0</v>
      </c>
      <c r="AR21" s="2">
        <f>IF(AND('Euro 2008 Schedule'!H29&lt;&gt;"",'Euro 2008 Schedule'!J29&lt;&gt;""),IF('Euro 2008 Schedule'!H29&lt;'Euro 2008 Schedule'!J29,'Euro 2008 Schedule'!L29,""),"")</f>
      </c>
      <c r="AS21" s="2">
        <f>IF(AND('Euro 2008 Schedule'!H29&lt;&gt;"",'Euro 2008 Schedule'!J29&lt;&gt;""),IF('Euro 2008 Schedule'!H29='Euro 2008 Schedule'!J29,'Euro 2008 Schedule'!L29,""),"")</f>
      </c>
      <c r="AT21" s="2">
        <f>IF(AND('Euro 2008 Schedule'!H29&lt;&gt;"",'Euro 2008 Schedule'!J29&lt;&gt;""),IF('Euro 2008 Schedule'!H29&lt;'Euro 2008 Schedule'!J29,'Euro 2008 Schedule'!G29,""),"")</f>
      </c>
      <c r="AU21" s="2">
        <f>IF(AND('Euro 2008 Schedule'!H29&lt;&gt;"",'Euro 2008 Schedule'!J29&lt;&gt;""),'Euro 2008 Schedule'!J29,0)</f>
        <v>0</v>
      </c>
      <c r="AV21" s="2">
        <v>1</v>
      </c>
      <c r="AW21" s="2">
        <f t="shared" si="2"/>
      </c>
      <c r="AX21" s="2">
        <f t="shared" si="3"/>
      </c>
      <c r="AY21" s="2">
        <f t="shared" si="4"/>
      </c>
      <c r="AZ21" s="2">
        <f t="shared" si="5"/>
      </c>
      <c r="BA21" s="2">
        <f t="shared" si="6"/>
      </c>
      <c r="BB21" s="2">
        <f t="shared" si="1"/>
      </c>
      <c r="BC21" s="2">
        <v>19</v>
      </c>
      <c r="BD21" s="2" t="str">
        <f>'Euro 2008 Schedule'!G47</f>
        <v>Poland</v>
      </c>
      <c r="BE21" s="2">
        <f>IF(AND('Euro 2008 Schedule'!H47&lt;&gt;"",'Euro 2008 Schedule'!J47&lt;&gt;""),'Euro 2008 Schedule'!H47,"")</f>
      </c>
      <c r="BF21" s="2">
        <f>IF(AND('Euro 2008 Schedule'!J47&lt;&gt;"",'Euro 2008 Schedule'!H47&lt;&gt;""),'Euro 2008 Schedule'!J47,"")</f>
      </c>
      <c r="BG21" s="2" t="str">
        <f>'Euro 2008 Schedule'!L47</f>
        <v>Croatia</v>
      </c>
    </row>
    <row r="22" spans="9:59" ht="12.75">
      <c r="I22" s="29"/>
      <c r="S22" s="29"/>
      <c r="AF22" s="29"/>
      <c r="AM22" s="2">
        <v>19</v>
      </c>
      <c r="AN22" s="2">
        <f>IF(AND('Euro 2008 Schedule'!H47&lt;&gt;"",'Euro 2008 Schedule'!J47&lt;&gt;""),IF('Euro 2008 Schedule'!H47&gt;'Euro 2008 Schedule'!J47,'Euro 2008 Schedule'!G47,""),"")</f>
      </c>
      <c r="AO22" s="2">
        <f>IF(AND('Euro 2008 Schedule'!H47&lt;&gt;"",'Euro 2008 Schedule'!J47&lt;&gt;""),IF('Euro 2008 Schedule'!H47='Euro 2008 Schedule'!J47,'Euro 2008 Schedule'!G47,""),"")</f>
      </c>
      <c r="AP22" s="2">
        <f>IF(AND('Euro 2008 Schedule'!H47&lt;&gt;"",'Euro 2008 Schedule'!J47&lt;&gt;""),IF('Euro 2008 Schedule'!H47&gt;'Euro 2008 Schedule'!J47,'Euro 2008 Schedule'!L47,""),"")</f>
      </c>
      <c r="AQ22" s="2">
        <f>IF(AND('Euro 2008 Schedule'!H47&lt;&gt;"",'Euro 2008 Schedule'!J47&lt;&gt;""),'Euro 2008 Schedule'!H47,0)</f>
        <v>0</v>
      </c>
      <c r="AR22" s="2">
        <f>IF(AND('Euro 2008 Schedule'!H47&lt;&gt;"",'Euro 2008 Schedule'!J47&lt;&gt;""),IF('Euro 2008 Schedule'!H47&lt;'Euro 2008 Schedule'!J47,'Euro 2008 Schedule'!L47,""),"")</f>
      </c>
      <c r="AS22" s="2">
        <f>IF(AND('Euro 2008 Schedule'!H47&lt;&gt;"",'Euro 2008 Schedule'!J47&lt;&gt;""),IF('Euro 2008 Schedule'!H47='Euro 2008 Schedule'!J47,'Euro 2008 Schedule'!L47,""),"")</f>
      </c>
      <c r="AT22" s="2">
        <f>IF(AND('Euro 2008 Schedule'!H47&lt;&gt;"",'Euro 2008 Schedule'!J47&lt;&gt;""),IF('Euro 2008 Schedule'!H47&lt;'Euro 2008 Schedule'!J47,'Euro 2008 Schedule'!G47,""),"")</f>
      </c>
      <c r="AU22" s="2">
        <f>IF(AND('Euro 2008 Schedule'!H47&lt;&gt;"",'Euro 2008 Schedule'!J47&lt;&gt;""),'Euro 2008 Schedule'!J47,0)</f>
        <v>0</v>
      </c>
      <c r="AV22" s="2">
        <v>1</v>
      </c>
      <c r="AW22" s="2">
        <f t="shared" si="2"/>
      </c>
      <c r="AX22" s="2">
        <f t="shared" si="3"/>
      </c>
      <c r="AY22" s="2">
        <f t="shared" si="4"/>
      </c>
      <c r="AZ22" s="2">
        <f t="shared" si="5"/>
      </c>
      <c r="BA22" s="2">
        <f t="shared" si="6"/>
      </c>
      <c r="BB22" s="2">
        <f t="shared" si="1"/>
      </c>
      <c r="BC22" s="2">
        <v>20</v>
      </c>
      <c r="BD22" s="2" t="str">
        <f>'Euro 2008 Schedule'!G48</f>
        <v>Austria</v>
      </c>
      <c r="BE22" s="2">
        <f>IF(AND('Euro 2008 Schedule'!H48&lt;&gt;"",'Euro 2008 Schedule'!J48&lt;&gt;""),'Euro 2008 Schedule'!H48,"")</f>
      </c>
      <c r="BF22" s="2">
        <f>IF(AND('Euro 2008 Schedule'!J48&lt;&gt;"",'Euro 2008 Schedule'!H48&lt;&gt;""),'Euro 2008 Schedule'!J48,"")</f>
      </c>
      <c r="BG22" s="2" t="str">
        <f>'Euro 2008 Schedule'!L48</f>
        <v>Germany</v>
      </c>
    </row>
    <row r="23" spans="2:59" ht="12.75">
      <c r="B23" s="2" t="s">
        <v>27</v>
      </c>
      <c r="C23" s="2" t="s">
        <v>21</v>
      </c>
      <c r="D23" s="2" t="s">
        <v>22</v>
      </c>
      <c r="E23" s="2" t="s">
        <v>23</v>
      </c>
      <c r="F23" s="2" t="s">
        <v>28</v>
      </c>
      <c r="G23" s="2" t="s">
        <v>29</v>
      </c>
      <c r="H23" s="2" t="s">
        <v>566</v>
      </c>
      <c r="I23" s="29" t="s">
        <v>417</v>
      </c>
      <c r="S23" s="29"/>
      <c r="AF23" s="29"/>
      <c r="AM23" s="2">
        <v>20</v>
      </c>
      <c r="AN23" s="2">
        <f>IF(AND('Euro 2008 Schedule'!H48&lt;&gt;"",'Euro 2008 Schedule'!J48&lt;&gt;""),IF('Euro 2008 Schedule'!H48&gt;'Euro 2008 Schedule'!J48,'Euro 2008 Schedule'!G48,""),"")</f>
      </c>
      <c r="AO23" s="2">
        <f>IF(AND('Euro 2008 Schedule'!H48&lt;&gt;"",'Euro 2008 Schedule'!J48&lt;&gt;""),IF('Euro 2008 Schedule'!H48='Euro 2008 Schedule'!J48,'Euro 2008 Schedule'!G48,""),"")</f>
      </c>
      <c r="AP23" s="2">
        <f>IF(AND('Euro 2008 Schedule'!H48&lt;&gt;"",'Euro 2008 Schedule'!J48&lt;&gt;""),IF('Euro 2008 Schedule'!H48&gt;'Euro 2008 Schedule'!J48,'Euro 2008 Schedule'!L48,""),"")</f>
      </c>
      <c r="AQ23" s="2">
        <f>IF(AND('Euro 2008 Schedule'!H48&lt;&gt;"",'Euro 2008 Schedule'!J48&lt;&gt;""),'Euro 2008 Schedule'!H48,0)</f>
        <v>0</v>
      </c>
      <c r="AR23" s="2">
        <f>IF(AND('Euro 2008 Schedule'!H48&lt;&gt;"",'Euro 2008 Schedule'!J48&lt;&gt;""),IF('Euro 2008 Schedule'!H48&lt;'Euro 2008 Schedule'!J48,'Euro 2008 Schedule'!L48,""),"")</f>
      </c>
      <c r="AS23" s="2">
        <f>IF(AND('Euro 2008 Schedule'!H48&lt;&gt;"",'Euro 2008 Schedule'!J48&lt;&gt;""),IF('Euro 2008 Schedule'!H48='Euro 2008 Schedule'!J48,'Euro 2008 Schedule'!L48,""),"")</f>
      </c>
      <c r="AT23" s="2">
        <f>IF(AND('Euro 2008 Schedule'!H48&lt;&gt;"",'Euro 2008 Schedule'!J48&lt;&gt;""),IF('Euro 2008 Schedule'!H48&lt;'Euro 2008 Schedule'!J48,'Euro 2008 Schedule'!G48,""),"")</f>
      </c>
      <c r="AU23" s="2">
        <f>IF(AND('Euro 2008 Schedule'!H48&lt;&gt;"",'Euro 2008 Schedule'!J48&lt;&gt;""),'Euro 2008 Schedule'!J48,0)</f>
        <v>0</v>
      </c>
      <c r="AV23" s="2">
        <v>1</v>
      </c>
      <c r="AW23" s="2">
        <f t="shared" si="2"/>
      </c>
      <c r="AX23" s="2">
        <f t="shared" si="3"/>
      </c>
      <c r="AY23" s="2">
        <f t="shared" si="4"/>
      </c>
      <c r="AZ23" s="2">
        <f t="shared" si="5"/>
      </c>
      <c r="BA23" s="2">
        <f t="shared" si="6"/>
      </c>
      <c r="BB23" s="2">
        <f t="shared" si="1"/>
      </c>
      <c r="BC23" s="2">
        <v>21</v>
      </c>
      <c r="BD23" s="2" t="str">
        <f>'Euro 2008 Schedule'!G66</f>
        <v>Netherlands</v>
      </c>
      <c r="BE23" s="2">
        <f>IF(AND('Euro 2008 Schedule'!H66&lt;&gt;"",'Euro 2008 Schedule'!J66&lt;&gt;""),'Euro 2008 Schedule'!H66,"")</f>
      </c>
      <c r="BF23" s="2">
        <f>IF(AND('Euro 2008 Schedule'!J66&lt;&gt;"",'Euro 2008 Schedule'!H66&lt;&gt;""),'Euro 2008 Schedule'!J66,"")</f>
      </c>
      <c r="BG23" s="2" t="str">
        <f>'Euro 2008 Schedule'!L66</f>
        <v>Romania</v>
      </c>
    </row>
    <row r="24" spans="9:59" ht="12.75">
      <c r="I24" s="29"/>
      <c r="S24" s="29"/>
      <c r="AF24" s="29"/>
      <c r="AM24" s="2">
        <v>21</v>
      </c>
      <c r="AN24" s="2">
        <f>IF(AND('Euro 2008 Schedule'!H66&lt;&gt;"",'Euro 2008 Schedule'!J66&lt;&gt;""),IF('Euro 2008 Schedule'!H66&gt;'Euro 2008 Schedule'!J66,'Euro 2008 Schedule'!G66,""),"")</f>
      </c>
      <c r="AO24" s="2">
        <f>IF(AND('Euro 2008 Schedule'!H66&lt;&gt;"",'Euro 2008 Schedule'!J66&lt;&gt;""),IF('Euro 2008 Schedule'!H66='Euro 2008 Schedule'!J66,'Euro 2008 Schedule'!G66,""),"")</f>
      </c>
      <c r="AP24" s="2">
        <f>IF(AND('Euro 2008 Schedule'!H66&lt;&gt;"",'Euro 2008 Schedule'!J66&lt;&gt;""),IF('Euro 2008 Schedule'!H66&gt;'Euro 2008 Schedule'!J66,'Euro 2008 Schedule'!L66,""),"")</f>
      </c>
      <c r="AQ24" s="2">
        <f>IF(AND('Euro 2008 Schedule'!H66&lt;&gt;"",'Euro 2008 Schedule'!J66&lt;&gt;""),'Euro 2008 Schedule'!H66,0)</f>
        <v>0</v>
      </c>
      <c r="AR24" s="2">
        <f>IF(AND('Euro 2008 Schedule'!H66&lt;&gt;"",'Euro 2008 Schedule'!J66&lt;&gt;""),IF('Euro 2008 Schedule'!H66&lt;'Euro 2008 Schedule'!J66,'Euro 2008 Schedule'!L66,""),"")</f>
      </c>
      <c r="AS24" s="2">
        <f>IF(AND('Euro 2008 Schedule'!H66&lt;&gt;"",'Euro 2008 Schedule'!J66&lt;&gt;""),IF('Euro 2008 Schedule'!H66='Euro 2008 Schedule'!J66,'Euro 2008 Schedule'!L66,""),"")</f>
      </c>
      <c r="AT24" s="2">
        <f>IF(AND('Euro 2008 Schedule'!H66&lt;&gt;"",'Euro 2008 Schedule'!J66&lt;&gt;""),IF('Euro 2008 Schedule'!H66&lt;'Euro 2008 Schedule'!J66,'Euro 2008 Schedule'!G66,""),"")</f>
      </c>
      <c r="AU24" s="2">
        <f>IF(AND('Euro 2008 Schedule'!H66&lt;&gt;"",'Euro 2008 Schedule'!J66&lt;&gt;""),'Euro 2008 Schedule'!J66,0)</f>
        <v>0</v>
      </c>
      <c r="AV24" s="2">
        <v>1</v>
      </c>
      <c r="AW24" s="2">
        <f t="shared" si="2"/>
      </c>
      <c r="AX24" s="2">
        <f t="shared" si="3"/>
      </c>
      <c r="AY24" s="2">
        <f t="shared" si="4"/>
      </c>
      <c r="AZ24" s="2">
        <f t="shared" si="5"/>
      </c>
      <c r="BA24" s="2">
        <f t="shared" si="6"/>
      </c>
      <c r="BB24" s="2">
        <f t="shared" si="1"/>
      </c>
      <c r="BC24" s="2">
        <v>22</v>
      </c>
      <c r="BD24" s="2" t="str">
        <f>'Euro 2008 Schedule'!G67</f>
        <v>France</v>
      </c>
      <c r="BE24" s="2">
        <f>IF(AND('Euro 2008 Schedule'!H67&lt;&gt;"",'Euro 2008 Schedule'!J67&lt;&gt;""),'Euro 2008 Schedule'!H67,"")</f>
      </c>
      <c r="BF24" s="2">
        <f>IF(AND('Euro 2008 Schedule'!J67&lt;&gt;"",'Euro 2008 Schedule'!H67&lt;&gt;""),'Euro 2008 Schedule'!J67,"")</f>
      </c>
      <c r="BG24" s="2" t="str">
        <f>'Euro 2008 Schedule'!L67</f>
        <v>Italy</v>
      </c>
    </row>
    <row r="25" spans="1:59" ht="12.75">
      <c r="A25" s="2">
        <f>K25+L25+M25+N25</f>
        <v>1</v>
      </c>
      <c r="B25" s="2" t="str">
        <f>'Euro 2008 Schedule'!L80</f>
        <v>Sweden</v>
      </c>
      <c r="C25" s="2">
        <f>SUMIF(AN$4:AN$27,B25,AV$4:AV$27)+SUMIF(AR$4:AR$27,B25,AV$4:AV$27)</f>
        <v>0</v>
      </c>
      <c r="D25" s="2">
        <f>SUMIF(AO$4:AO$27,B25,AV$4:AV$27)+SUMIF(AS$4:AS$27,B25,AV$4:AV$27)</f>
        <v>0</v>
      </c>
      <c r="E25" s="2">
        <f>SUMIF(AP$4:AP$27,B25,AV$4:AV$27)+SUMIF(AT$4:AT$27,B25,AV$4:AV$27)</f>
        <v>0</v>
      </c>
      <c r="F25" s="2">
        <f>SUMIF($BD$3:$BD$26,B25,$BE$3:$BE$26)+SUMIF($BG$3:$BG$26,B25,$BF$3:$BF$26)</f>
        <v>0</v>
      </c>
      <c r="G25" s="2">
        <f>SUMIF($BG$3:$BG$26,B25,$BE$3:$BE$26)+SUMIF($BD$3:$BD$26,B25,$BF$3:$BF$26)</f>
        <v>0</v>
      </c>
      <c r="H25" s="2">
        <f>F25-G25+100</f>
        <v>100</v>
      </c>
      <c r="I25" s="29">
        <f>C25*3+D25</f>
        <v>0</v>
      </c>
      <c r="J25" s="2">
        <v>2273</v>
      </c>
      <c r="K25" s="2">
        <f>RANK(I25,I$25:I$28)</f>
        <v>1</v>
      </c>
      <c r="L25" s="2">
        <f>SUMPRODUCT((I$25:I$28=I25)*(H$25:H$28&gt;H25))</f>
        <v>0</v>
      </c>
      <c r="M25" s="2">
        <f>SUMPRODUCT((I$25:I$28=I25)*(H$25:H$28=H25)*(F$25:F$28&gt;F25))</f>
        <v>0</v>
      </c>
      <c r="N25" s="2">
        <f>SUMPRODUCT((I$25:I$28=I25)*(H$25:H$28=H25)*(F$25:F$28=F25)*(J$25:J$28&gt;J25))</f>
        <v>0</v>
      </c>
      <c r="O25" s="2">
        <f>X25</f>
        <v>1</v>
      </c>
      <c r="P25" s="2" t="str">
        <f>VLOOKUP(1,A$25:B$28,2,FALSE)</f>
        <v>Sweden</v>
      </c>
      <c r="Q25" s="2">
        <f>SUMIF(B$4:B$28,P25,F$4:F$28)</f>
        <v>0</v>
      </c>
      <c r="R25" s="2">
        <f>SUMIF(B$4:B$28,P25,H$4:H$28)</f>
        <v>100</v>
      </c>
      <c r="S25" s="29">
        <f>SUMIF(B$4:B$28,P25,I$4:I$28)</f>
        <v>0</v>
      </c>
      <c r="T25" s="2">
        <f aca="true" t="shared" si="9" ref="T25:V28">SUMIF($B$4:$B$28,$P25,K$4:K$28)</f>
        <v>1</v>
      </c>
      <c r="U25" s="2">
        <f t="shared" si="9"/>
        <v>0</v>
      </c>
      <c r="V25" s="2">
        <f t="shared" si="9"/>
        <v>0</v>
      </c>
      <c r="W25" s="2">
        <f>SUMIF($B$4:$B$28,$P25,J$4:J$28)</f>
        <v>2273</v>
      </c>
      <c r="X25" s="2">
        <f>IF(Y25=0,T25,T25+AG25+AH25+AI25+AJ25+AK25+AL25)</f>
        <v>1</v>
      </c>
      <c r="Y25" s="2" t="str">
        <f>IF(COUNTIF(S$25:S$28,S25)=1,0,P25)</f>
        <v>Sweden</v>
      </c>
      <c r="Z25" s="2">
        <f>SUMIF($AW$4:$AW$27,Y25,$AV$4:$AV$27)+SUMIF($AZ$4:$AZ$27,Y25,$AV$4:$AV$27)</f>
        <v>0</v>
      </c>
      <c r="AA25" s="2">
        <f>SUMIF($AX$4:$AX$27,$Y25,$AV$4:$AV$27)+SUMIF($BA$4:$BA$27,$Y25,$AV$4:$AV$27)</f>
        <v>0</v>
      </c>
      <c r="AB25" s="2">
        <f>SUMIF($AY$4:$AY$27,$Y25,$AV$4:$AV$27)+SUMIF($BB$4:$BB$27,$Y25,$AV$4:$AV$27)</f>
        <v>0</v>
      </c>
      <c r="AC25" s="2">
        <f>SUMIF(AW$4:AW$27,Y25,AQ$4:AQ$27)+SUMIF(AZ$4:AZ$27,Y25,AU$4:AU$27)+SUMIF(AX$4:AX$27,Y25,AQ$4:AQ$27)+SUMIF(BA$4:BA$27,Y25,AU$4:AU$27)</f>
        <v>0</v>
      </c>
      <c r="AD25" s="2">
        <f>SUMIF(AY$4:AY$27,Y25,AQ$4:AQ$27)+SUMIF(BB$4:BB$27,Y25,AU$4:AU$27)+SUMIF(AX$4:AX$27,Y25,AQ$4:AQ$27)+SUMIF(BA$4:BA$27,Y25,AU$4:AU$27)</f>
        <v>0</v>
      </c>
      <c r="AE25" s="2">
        <f>AC25-AD25+100</f>
        <v>100</v>
      </c>
      <c r="AF25" s="29">
        <f>IF(Y25&lt;&gt;0,Z25*3+AA25,"")</f>
        <v>0</v>
      </c>
      <c r="AG25" s="2">
        <f>IF(Y25&lt;&gt;0,RANK(AF25,AF$25:AF$28)-1,5)</f>
        <v>0</v>
      </c>
      <c r="AH25" s="2">
        <f>IF(Y25&lt;&gt;0,SUMPRODUCT((AF$25:AF$28=AF25)*(AE$25:AE$28&gt;AE25)),5)</f>
        <v>0</v>
      </c>
      <c r="AI25" s="2">
        <f>IF(Y25&lt;&gt;0,SUMPRODUCT((AF$25:AF$28=AF25)*(AE$25:AE$28=AE25)*(AC$25:AC$28&gt;AC25)),5)</f>
        <v>0</v>
      </c>
      <c r="AJ25" s="2">
        <f>IF(Y25&lt;&gt;0,SUMPRODUCT(($AF$25:$AF$28=AF25)*($AE$25:$AE$28=AE25)*($AC$25:$AC$28=AC25)*($R$25:$R$28&gt;R25)),5)</f>
        <v>0</v>
      </c>
      <c r="AK25" s="2">
        <f>IF(Y25&lt;&gt;0,SUMPRODUCT(($AF$25:$AF$28=AF25)*($AE$25:$AE$28=AE25)*($AC$25:$AC$28=AC25)*($R$25:$R$28=R25)*($Q$25:$Q$28&gt;Q25)),5)</f>
        <v>0</v>
      </c>
      <c r="AL25" s="2">
        <f>IF($Y25&lt;&gt;0,SUMPRODUCT(($AF$25:$AF$28=$AF25)*($AE$25:$AE$28=$AE25)*($AC$25:$AC$28=$AC25)*($R$25:$R$28=$R25)*($Q$25:$Q$28=$Q25)*($W$25:$W$28&gt;$W25)),5)</f>
        <v>0</v>
      </c>
      <c r="AM25" s="2">
        <v>22</v>
      </c>
      <c r="AN25" s="2">
        <f>IF(AND('Euro 2008 Schedule'!H67&lt;&gt;"",'Euro 2008 Schedule'!J67&lt;&gt;""),IF('Euro 2008 Schedule'!H67&gt;'Euro 2008 Schedule'!J67,'Euro 2008 Schedule'!G67,""),"")</f>
      </c>
      <c r="AO25" s="2">
        <f>IF(AND('Euro 2008 Schedule'!H67&lt;&gt;"",'Euro 2008 Schedule'!J67&lt;&gt;""),IF('Euro 2008 Schedule'!H67='Euro 2008 Schedule'!J67,'Euro 2008 Schedule'!G67,""),"")</f>
      </c>
      <c r="AP25" s="2">
        <f>IF(AND('Euro 2008 Schedule'!H67&lt;&gt;"",'Euro 2008 Schedule'!J67&lt;&gt;""),IF('Euro 2008 Schedule'!H67&gt;'Euro 2008 Schedule'!J67,'Euro 2008 Schedule'!L67,""),"")</f>
      </c>
      <c r="AQ25" s="2">
        <f>IF(AND('Euro 2008 Schedule'!H67&lt;&gt;"",'Euro 2008 Schedule'!J67&lt;&gt;""),'Euro 2008 Schedule'!H67,0)</f>
        <v>0</v>
      </c>
      <c r="AR25" s="2">
        <f>IF(AND('Euro 2008 Schedule'!H67&lt;&gt;"",'Euro 2008 Schedule'!J67&lt;&gt;""),IF('Euro 2008 Schedule'!H67&lt;'Euro 2008 Schedule'!J67,'Euro 2008 Schedule'!L67,""),"")</f>
      </c>
      <c r="AS25" s="2">
        <f>IF(AND('Euro 2008 Schedule'!H67&lt;&gt;"",'Euro 2008 Schedule'!J67&lt;&gt;""),IF('Euro 2008 Schedule'!H67='Euro 2008 Schedule'!J67,'Euro 2008 Schedule'!L67,""),"")</f>
      </c>
      <c r="AT25" s="2">
        <f>IF(AND('Euro 2008 Schedule'!H67&lt;&gt;"",'Euro 2008 Schedule'!J67&lt;&gt;""),IF('Euro 2008 Schedule'!H67&lt;'Euro 2008 Schedule'!J67,'Euro 2008 Schedule'!G67,""),"")</f>
      </c>
      <c r="AU25" s="2">
        <f>IF(AND('Euro 2008 Schedule'!H67&lt;&gt;"",'Euro 2008 Schedule'!J67&lt;&gt;""),'Euro 2008 Schedule'!J67,0)</f>
        <v>0</v>
      </c>
      <c r="AV25" s="2">
        <v>1</v>
      </c>
      <c r="AW25" s="2">
        <f t="shared" si="2"/>
      </c>
      <c r="AX25" s="2">
        <f t="shared" si="3"/>
      </c>
      <c r="AY25" s="2">
        <f t="shared" si="4"/>
      </c>
      <c r="AZ25" s="2">
        <f t="shared" si="5"/>
      </c>
      <c r="BA25" s="2">
        <f t="shared" si="6"/>
      </c>
      <c r="BB25" s="2">
        <f t="shared" si="1"/>
      </c>
      <c r="BC25" s="2">
        <v>23</v>
      </c>
      <c r="BD25" s="2" t="str">
        <f>'Euro 2008 Schedule'!G85</f>
        <v>Greece</v>
      </c>
      <c r="BE25" s="2">
        <f>IF(AND('Euro 2008 Schedule'!H85&lt;&gt;"",'Euro 2008 Schedule'!J85&lt;&gt;""),'Euro 2008 Schedule'!H85,"")</f>
      </c>
      <c r="BF25" s="2">
        <f>IF(AND('Euro 2008 Schedule'!J85&lt;&gt;"",'Euro 2008 Schedule'!H85&lt;&gt;""),'Euro 2008 Schedule'!J85,"")</f>
      </c>
      <c r="BG25" s="2" t="str">
        <f>'Euro 2008 Schedule'!L85</f>
        <v>Spain</v>
      </c>
    </row>
    <row r="26" spans="1:59" ht="12.75">
      <c r="A26" s="2">
        <f>K26+L26+M26+N26</f>
        <v>2</v>
      </c>
      <c r="B26" s="2" t="str">
        <f>'Euro 2008 Schedule'!G79</f>
        <v>Spain</v>
      </c>
      <c r="C26" s="2">
        <f>SUMIF(AN$4:AN$27,B26,AV$4:AV$27)+SUMIF(AR$4:AR$27,B26,AV$4:AV$27)</f>
        <v>0</v>
      </c>
      <c r="D26" s="2">
        <f>SUMIF(AO$4:AO$27,B26,AV$4:AV$27)+SUMIF(AS$4:AS$27,B26,AV$4:AV$27)</f>
        <v>0</v>
      </c>
      <c r="E26" s="2">
        <f>SUMIF(AP$4:AP$27,B26,AV$4:AV$27)+SUMIF(AT$4:AT$27,B26,AV$4:AV$27)</f>
        <v>0</v>
      </c>
      <c r="F26" s="2">
        <f>SUMIF($BD$3:$BD$26,B26,$BE$3:$BE$26)+SUMIF($BG$3:$BG$26,B26,$BF$3:$BF$26)</f>
        <v>0</v>
      </c>
      <c r="G26" s="2">
        <f>SUMIF($BG$3:$BG$26,B26,$BE$3:$BE$26)+SUMIF($BD$3:$BD$26,B26,$BF$3:$BF$26)</f>
        <v>0</v>
      </c>
      <c r="H26" s="2">
        <f>F26-G26+100</f>
        <v>100</v>
      </c>
      <c r="I26" s="29">
        <f>C26*3+D26</f>
        <v>0</v>
      </c>
      <c r="J26" s="2">
        <v>2182</v>
      </c>
      <c r="K26" s="2">
        <f>RANK(I26,I$25:I$28)</f>
        <v>1</v>
      </c>
      <c r="L26" s="2">
        <f>SUMPRODUCT((I$25:I$28=I26)*(H$25:H$28&gt;H26))</f>
        <v>0</v>
      </c>
      <c r="M26" s="2">
        <f>SUMPRODUCT((I$25:I$28=I26)*(H$25:H$28=H26)*(F$25:F$28&gt;F26))</f>
        <v>0</v>
      </c>
      <c r="N26" s="2">
        <f>SUMPRODUCT((I$25:I$28=I26)*(H$25:H$28=H26)*(F$25:F$28=F26)*(J$25:J$28&gt;J26))</f>
        <v>1</v>
      </c>
      <c r="O26" s="2">
        <f>X26</f>
        <v>2</v>
      </c>
      <c r="P26" s="2" t="str">
        <f>VLOOKUP(2,A$25:B$28,2,FALSE)</f>
        <v>Spain</v>
      </c>
      <c r="Q26" s="2">
        <f>SUMIF(B$4:B$28,P26,F$4:F$28)</f>
        <v>0</v>
      </c>
      <c r="R26" s="2">
        <f>SUMIF(B$4:B$28,P26,H$4:H$28)</f>
        <v>100</v>
      </c>
      <c r="S26" s="29">
        <f>SUMIF(B$4:B$28,P26,I$4:I$28)</f>
        <v>0</v>
      </c>
      <c r="T26" s="2">
        <f t="shared" si="9"/>
        <v>1</v>
      </c>
      <c r="U26" s="2">
        <f t="shared" si="9"/>
        <v>0</v>
      </c>
      <c r="V26" s="2">
        <f t="shared" si="9"/>
        <v>0</v>
      </c>
      <c r="W26" s="2">
        <f>SUMIF($B$4:$B$28,$P26,J$4:J$28)</f>
        <v>2182</v>
      </c>
      <c r="X26" s="2">
        <f>IF(Y26=0,T26,T26+AG26+AH26+AI26+AJ26+AK26+AL26)</f>
        <v>2</v>
      </c>
      <c r="Y26" s="2" t="str">
        <f>IF(COUNTIF(S$25:S$28,S26)=1,0,P26)</f>
        <v>Spain</v>
      </c>
      <c r="Z26" s="2">
        <f>SUMIF($AW$4:$AW$27,Y26,$AV$4:$AV$27)+SUMIF($AZ$4:$AZ$27,Y26,$AV$4:$AV$27)</f>
        <v>0</v>
      </c>
      <c r="AA26" s="2">
        <f>SUMIF($AX$4:$AX$27,$Y26,$AV$4:$AV$27)+SUMIF($BA$4:$BA$27,$Y26,$AV$4:$AV$27)</f>
        <v>0</v>
      </c>
      <c r="AB26" s="2">
        <f>SUMIF($AY$4:$AY$27,$Y26,$AV$4:$AV$27)+SUMIF($BB$4:$BB$27,$Y26,$AV$4:$AV$27)</f>
        <v>0</v>
      </c>
      <c r="AC26" s="2">
        <f>SUMIF(AW$4:AW$27,Y26,AQ$4:AQ$27)+SUMIF(AZ$4:AZ$27,Y26,AU$4:AU$27)+SUMIF(AX$4:AX$27,Y26,AQ$4:AQ$27)+SUMIF(BA$4:BA$27,Y26,AU$4:AU$27)</f>
        <v>0</v>
      </c>
      <c r="AD26" s="2">
        <f>SUMIF(AY$4:AY$27,Y26,AQ$4:AQ$27)+SUMIF(BB$4:BB$27,Y26,AU$4:AU$27)+SUMIF(AX$4:AX$27,Y26,AQ$4:AQ$27)+SUMIF(BA$4:BA$27,Y26,AU$4:AU$27)</f>
        <v>0</v>
      </c>
      <c r="AE26" s="2">
        <f>AC26-AD26+100</f>
        <v>100</v>
      </c>
      <c r="AF26" s="29">
        <f>IF(Y26&lt;&gt;0,Z26*3+AA26,"")</f>
        <v>0</v>
      </c>
      <c r="AG26" s="2">
        <f>IF(Y26&lt;&gt;0,RANK(AF26,AF$25:AF$28)-1,5)</f>
        <v>0</v>
      </c>
      <c r="AH26" s="2">
        <f>IF(Y26&lt;&gt;0,SUMPRODUCT((AF$25:AF$28=AF26)*(AE$25:AE$28&gt;AE26)),5)</f>
        <v>0</v>
      </c>
      <c r="AI26" s="2">
        <f>IF(Y26&lt;&gt;0,SUMPRODUCT((AF$25:AF$28=AF26)*(AE$25:AE$28=AE26)*(AC$25:AC$28&gt;AC26)),5)</f>
        <v>0</v>
      </c>
      <c r="AJ26" s="2">
        <f>IF(Y26&lt;&gt;0,SUMPRODUCT(($AF$25:$AF$28=AF26)*($AE$25:$AE$28=AE26)*($AC$25:$AC$28=AC26)*($R$25:$R$28&gt;R26)),5)</f>
        <v>0</v>
      </c>
      <c r="AK26" s="2">
        <f>IF(Y26&lt;&gt;0,SUMPRODUCT(($AF$25:$AF$28=AF26)*($AE$25:$AE$28=AE26)*($AC$25:$AC$28=AC26)*($R$25:$R$28=R26)*($Q$25:$Q$28&gt;Q26)),5)</f>
        <v>0</v>
      </c>
      <c r="AL26" s="2">
        <f>IF($Y26&lt;&gt;0,SUMPRODUCT(($AF$25:$AF$28=$AF26)*($AE$25:$AE$28=$AE26)*($AC$25:$AC$28=$AC26)*($R$25:$R$28=$R26)*($Q$25:$Q$28=$Q26)*($W$25:$W$28&gt;$W26)),5)</f>
        <v>1</v>
      </c>
      <c r="AM26" s="2">
        <v>23</v>
      </c>
      <c r="AN26" s="2">
        <f>IF(AND('Euro 2008 Schedule'!H85&lt;&gt;"",'Euro 2008 Schedule'!J85&lt;&gt;""),IF('Euro 2008 Schedule'!H85&gt;'Euro 2008 Schedule'!J85,'Euro 2008 Schedule'!G85,""),"")</f>
      </c>
      <c r="AO26" s="2">
        <f>IF(AND('Euro 2008 Schedule'!H85&lt;&gt;"",'Euro 2008 Schedule'!J85&lt;&gt;""),IF('Euro 2008 Schedule'!H85='Euro 2008 Schedule'!J85,'Euro 2008 Schedule'!G85,""),"")</f>
      </c>
      <c r="AP26" s="2">
        <f>IF(AND('Euro 2008 Schedule'!H85&lt;&gt;"",'Euro 2008 Schedule'!J85&lt;&gt;""),IF('Euro 2008 Schedule'!H85&gt;'Euro 2008 Schedule'!J85,'Euro 2008 Schedule'!L85,""),"")</f>
      </c>
      <c r="AQ26" s="2">
        <f>IF(AND('Euro 2008 Schedule'!H85&lt;&gt;"",'Euro 2008 Schedule'!J85&lt;&gt;""),'Euro 2008 Schedule'!H85,0)</f>
        <v>0</v>
      </c>
      <c r="AR26" s="2">
        <f>IF(AND('Euro 2008 Schedule'!H85&lt;&gt;"",'Euro 2008 Schedule'!J85&lt;&gt;""),IF('Euro 2008 Schedule'!H85&lt;'Euro 2008 Schedule'!J85,'Euro 2008 Schedule'!L85,""),"")</f>
      </c>
      <c r="AS26" s="2">
        <f>IF(AND('Euro 2008 Schedule'!H85&lt;&gt;"",'Euro 2008 Schedule'!J85&lt;&gt;""),IF('Euro 2008 Schedule'!H85='Euro 2008 Schedule'!J85,'Euro 2008 Schedule'!L85,""),"")</f>
      </c>
      <c r="AT26" s="2">
        <f>IF(AND('Euro 2008 Schedule'!H85&lt;&gt;"",'Euro 2008 Schedule'!J85&lt;&gt;""),IF('Euro 2008 Schedule'!H85&lt;'Euro 2008 Schedule'!J85,'Euro 2008 Schedule'!G85,""),"")</f>
      </c>
      <c r="AU26" s="2">
        <f>IF(AND('Euro 2008 Schedule'!H85&lt;&gt;"",'Euro 2008 Schedule'!J85&lt;&gt;""),'Euro 2008 Schedule'!J85,0)</f>
        <v>0</v>
      </c>
      <c r="AV26" s="2">
        <v>1</v>
      </c>
      <c r="AW26" s="2">
        <f t="shared" si="2"/>
      </c>
      <c r="AX26" s="2">
        <f t="shared" si="3"/>
      </c>
      <c r="AY26" s="2">
        <f t="shared" si="4"/>
      </c>
      <c r="AZ26" s="2">
        <f t="shared" si="5"/>
      </c>
      <c r="BA26" s="2">
        <f t="shared" si="6"/>
      </c>
      <c r="BB26" s="2">
        <f t="shared" si="1"/>
      </c>
      <c r="BC26" s="2">
        <v>24</v>
      </c>
      <c r="BD26" s="2" t="str">
        <f>'Euro 2008 Schedule'!G86</f>
        <v>Russia</v>
      </c>
      <c r="BE26" s="2">
        <f>IF(AND('Euro 2008 Schedule'!H86&lt;&gt;"",'Euro 2008 Schedule'!J86&lt;&gt;""),'Euro 2008 Schedule'!H86,"")</f>
      </c>
      <c r="BF26" s="2">
        <f>IF(AND('Euro 2008 Schedule'!J86&lt;&gt;"",'Euro 2008 Schedule'!H86&lt;&gt;""),'Euro 2008 Schedule'!J86,"")</f>
      </c>
      <c r="BG26" s="2" t="str">
        <f>'Euro 2008 Schedule'!L86</f>
        <v>Sweden</v>
      </c>
    </row>
    <row r="27" spans="1:54" ht="12.75">
      <c r="A27" s="2">
        <f>K27+L27+M27+N27</f>
        <v>3</v>
      </c>
      <c r="B27" s="2" t="str">
        <f>'Euro 2008 Schedule'!G80</f>
        <v>Greece</v>
      </c>
      <c r="C27" s="2">
        <f>SUMIF(AN$4:AN$27,B27,AV$4:AV$27)+SUMIF(AR$4:AR$27,B27,AV$4:AV$27)</f>
        <v>0</v>
      </c>
      <c r="D27" s="2">
        <f>SUMIF(AO$4:AO$27,B27,AV$4:AV$27)+SUMIF(AS$4:AS$27,B27,AV$4:AV$27)</f>
        <v>0</v>
      </c>
      <c r="E27" s="2">
        <f>SUMIF(AP$4:AP$27,B27,AV$4:AV$27)+SUMIF(AT$4:AT$27,B27,AV$4:AV$27)</f>
        <v>0</v>
      </c>
      <c r="F27" s="2">
        <f>SUMIF($BD$3:$BD$26,B27,$BE$3:$BE$26)+SUMIF($BG$3:$BG$26,B27,$BF$3:$BF$26)</f>
        <v>0</v>
      </c>
      <c r="G27" s="2">
        <f>SUMIF($BG$3:$BG$26,B27,$BE$3:$BE$26)+SUMIF($BD$3:$BD$26,B27,$BF$3:$BF$26)</f>
        <v>0</v>
      </c>
      <c r="H27" s="2">
        <f>F27-G27+100</f>
        <v>100</v>
      </c>
      <c r="I27" s="29">
        <f>C27*3+D27</f>
        <v>0</v>
      </c>
      <c r="J27" s="2">
        <v>2167</v>
      </c>
      <c r="K27" s="2">
        <f>RANK(I27,I$25:I$28)</f>
        <v>1</v>
      </c>
      <c r="L27" s="2">
        <f>SUMPRODUCT((I$25:I$28=I27)*(H$25:H$28&gt;H27))</f>
        <v>0</v>
      </c>
      <c r="M27" s="2">
        <f>SUMPRODUCT((I$25:I$28=I27)*(H$25:H$28=H27)*(F$25:F$28&gt;F27))</f>
        <v>0</v>
      </c>
      <c r="N27" s="2">
        <f>SUMPRODUCT((I$25:I$28=I27)*(H$25:H$28=H27)*(F$25:F$28=F27)*(J$25:J$28&gt;J27))</f>
        <v>2</v>
      </c>
      <c r="O27" s="2">
        <f>IF(X27=5,3,IF(X27=6,4,X27))</f>
        <v>3</v>
      </c>
      <c r="P27" s="2" t="str">
        <f>VLOOKUP(3,A$25:B$28,2,FALSE)</f>
        <v>Greece</v>
      </c>
      <c r="Q27" s="2">
        <f>SUMIF(B$4:B$28,P27,F$4:F$28)</f>
        <v>0</v>
      </c>
      <c r="R27" s="2">
        <f>SUMIF(B$4:B$28,P27,H$4:H$28)</f>
        <v>100</v>
      </c>
      <c r="S27" s="29">
        <f>SUMIF(B$4:B$28,P27,I$4:I$28)</f>
        <v>0</v>
      </c>
      <c r="T27" s="2">
        <f t="shared" si="9"/>
        <v>1</v>
      </c>
      <c r="U27" s="2">
        <f t="shared" si="9"/>
        <v>0</v>
      </c>
      <c r="V27" s="2">
        <f t="shared" si="9"/>
        <v>0</v>
      </c>
      <c r="W27" s="2">
        <f>SUMIF($B$4:$B$28,$P27,J$4:J$28)</f>
        <v>2167</v>
      </c>
      <c r="X27" s="2">
        <f>IF(Y27=0,T27,T27+AG27+AH27+AI27+AJ27+AK27+AL27)</f>
        <v>3</v>
      </c>
      <c r="Y27" s="2" t="str">
        <f>IF(S27=S26,IF(COUNTIF(S$25:S$28,S27)=1,0,P27),0)</f>
        <v>Greece</v>
      </c>
      <c r="Z27" s="2">
        <f>SUMIF($AW$4:$AW$27,Y27,$AV$4:$AV$27)+SUMIF($AZ$4:$AZ$27,Y27,$AV$4:$AV$27)</f>
        <v>0</v>
      </c>
      <c r="AA27" s="2">
        <f>SUMIF($AX$4:$AX$27,$Y27,$AV$4:$AV$27)+SUMIF($BA$4:$BA$27,$Y27,$AV$4:$AV$27)</f>
        <v>0</v>
      </c>
      <c r="AB27" s="2">
        <f>SUMIF($AY$4:$AY$27,$Y27,$AV$4:$AV$27)+SUMIF($BB$4:$BB$27,$Y27,$AV$4:$AV$27)</f>
        <v>0</v>
      </c>
      <c r="AC27" s="2">
        <f>SUMIF(AW$4:AW$27,Y27,AQ$4:AQ$27)+SUMIF(AZ$4:AZ$27,Y27,AU$4:AU$27)+SUMIF(AX$4:AX$27,Y27,AQ$4:AQ$27)+SUMIF(BA$4:BA$27,Y27,AU$4:AU$27)</f>
        <v>0</v>
      </c>
      <c r="AD27" s="2">
        <f>SUMIF(AY$4:AY$27,Y27,AQ$4:AQ$27)+SUMIF(BB$4:BB$27,Y27,AU$4:AU$27)+SUMIF(AX$4:AX$27,Y27,AQ$4:AQ$27)+SUMIF(BA$4:BA$27,Y27,AU$4:AU$27)</f>
        <v>0</v>
      </c>
      <c r="AE27" s="2">
        <f>AC27-AD27+100</f>
        <v>100</v>
      </c>
      <c r="AF27" s="29">
        <f>IF(Y27&lt;&gt;0,Z27*3+AA27,"")</f>
        <v>0</v>
      </c>
      <c r="AG27" s="2">
        <f>IF(Y27&lt;&gt;0,RANK(AF27,AF$25:AF$28)-1,5)</f>
        <v>0</v>
      </c>
      <c r="AH27" s="2">
        <f>IF(Y27&lt;&gt;0,SUMPRODUCT((AF$25:AF$28=AF27)*(AE$25:AE$28&gt;AE27)),5)</f>
        <v>0</v>
      </c>
      <c r="AI27" s="2">
        <f>IF(Y27&lt;&gt;0,SUMPRODUCT((AF$25:AF$28=AF27)*(AE$25:AE$28=AE27)*(AC$25:AC$28&gt;AC27)),5)</f>
        <v>0</v>
      </c>
      <c r="AJ27" s="2">
        <f>IF(Y27&lt;&gt;0,SUMPRODUCT(($AF$25:$AF$28=AF27)*($AE$25:$AE$28=AE27)*($AC$25:$AC$28=AC27)*($R$25:$R$28&gt;R27)),5)</f>
        <v>0</v>
      </c>
      <c r="AK27" s="2">
        <f>IF(Y27&lt;&gt;0,SUMPRODUCT(($AF$25:$AF$28=AF27)*($AE$25:$AE$28=AE27)*($AC$25:$AC$28=AC27)*($R$25:$R$28=R27)*($Q$25:$Q$28&gt;Q27)),5)</f>
        <v>0</v>
      </c>
      <c r="AL27" s="2">
        <f>IF($Y27&lt;&gt;0,SUMPRODUCT(($AF$25:$AF$28=$AF27)*($AE$25:$AE$28=$AE27)*($AC$25:$AC$28=$AC27)*($R$25:$R$28=$R27)*($Q$25:$Q$28=$Q27)*($W$25:$W$28&gt;$W27)),5)</f>
        <v>2</v>
      </c>
      <c r="AM27" s="2">
        <v>24</v>
      </c>
      <c r="AN27" s="2">
        <f>IF(AND('Euro 2008 Schedule'!H86&lt;&gt;"",'Euro 2008 Schedule'!J86&lt;&gt;""),IF('Euro 2008 Schedule'!H86&gt;'Euro 2008 Schedule'!J86,'Euro 2008 Schedule'!G86,""),"")</f>
      </c>
      <c r="AO27" s="2">
        <f>IF(AND('Euro 2008 Schedule'!H86&lt;&gt;"",'Euro 2008 Schedule'!J86&lt;&gt;""),IF('Euro 2008 Schedule'!H86='Euro 2008 Schedule'!J86,'Euro 2008 Schedule'!G86,""),"")</f>
      </c>
      <c r="AP27" s="2">
        <f>IF(AND('Euro 2008 Schedule'!H86&lt;&gt;"",'Euro 2008 Schedule'!J86&lt;&gt;""),IF('Euro 2008 Schedule'!H86&gt;'Euro 2008 Schedule'!J86,'Euro 2008 Schedule'!L86,""),"")</f>
      </c>
      <c r="AQ27" s="2">
        <f>IF(AND('Euro 2008 Schedule'!H86&lt;&gt;"",'Euro 2008 Schedule'!J86&lt;&gt;""),'Euro 2008 Schedule'!H86,0)</f>
        <v>0</v>
      </c>
      <c r="AR27" s="2">
        <f>IF(AND('Euro 2008 Schedule'!H86&lt;&gt;"",'Euro 2008 Schedule'!J86&lt;&gt;""),IF('Euro 2008 Schedule'!H86&lt;'Euro 2008 Schedule'!J86,'Euro 2008 Schedule'!L86,""),"")</f>
      </c>
      <c r="AS27" s="2">
        <f>IF(AND('Euro 2008 Schedule'!H86&lt;&gt;"",'Euro 2008 Schedule'!J86&lt;&gt;""),IF('Euro 2008 Schedule'!H86='Euro 2008 Schedule'!J86,'Euro 2008 Schedule'!L86,""),"")</f>
      </c>
      <c r="AT27" s="2">
        <f>IF(AND('Euro 2008 Schedule'!H86&lt;&gt;"",'Euro 2008 Schedule'!J86&lt;&gt;""),IF('Euro 2008 Schedule'!H86&lt;'Euro 2008 Schedule'!J86,'Euro 2008 Schedule'!G86,""),"")</f>
      </c>
      <c r="AU27" s="2">
        <f>IF(AND('Euro 2008 Schedule'!H86&lt;&gt;"",'Euro 2008 Schedule'!J86&lt;&gt;""),'Euro 2008 Schedule'!J86,0)</f>
        <v>0</v>
      </c>
      <c r="AV27" s="2">
        <v>1</v>
      </c>
      <c r="AW27" s="2">
        <f t="shared" si="2"/>
      </c>
      <c r="AX27" s="2">
        <f t="shared" si="3"/>
      </c>
      <c r="AY27" s="2">
        <f t="shared" si="4"/>
      </c>
      <c r="AZ27" s="2">
        <f t="shared" si="5"/>
      </c>
      <c r="BA27" s="2">
        <f t="shared" si="6"/>
      </c>
      <c r="BB27" s="2">
        <f t="shared" si="1"/>
      </c>
    </row>
    <row r="28" spans="1:38" ht="12.75">
      <c r="A28" s="2">
        <f>K28+L28+M28+N28</f>
        <v>4</v>
      </c>
      <c r="B28" s="2" t="str">
        <f>'Euro 2008 Schedule'!L79</f>
        <v>Russia</v>
      </c>
      <c r="C28" s="2">
        <f>SUMIF(AN$4:AN$27,B28,AV$4:AV$27)+SUMIF(AR$4:AR$27,B28,AV$4:AV$27)</f>
        <v>0</v>
      </c>
      <c r="D28" s="2">
        <f>SUMIF(AO$4:AO$27,B28,AV$4:AV$27)+SUMIF(AS$4:AS$27,B28,AV$4:AV$27)</f>
        <v>0</v>
      </c>
      <c r="E28" s="2">
        <f>SUMIF(AP$4:AP$27,B28,AV$4:AV$27)+SUMIF(AT$4:AT$27,B28,AV$4:AV$27)</f>
        <v>0</v>
      </c>
      <c r="F28" s="2">
        <f>SUMIF($BD$3:$BD$26,B28,$BE$3:$BE$26)+SUMIF($BG$3:$BG$26,B28,$BF$3:$BF$26)</f>
        <v>0</v>
      </c>
      <c r="G28" s="2">
        <f>SUMIF($BG$3:$BG$26,B28,$BE$3:$BE$26)+SUMIF($BD$3:$BD$26,B28,$BF$3:$BF$26)</f>
        <v>0</v>
      </c>
      <c r="H28" s="2">
        <f>F28-G28+100</f>
        <v>100</v>
      </c>
      <c r="I28" s="29">
        <f>C28*3+D28</f>
        <v>0</v>
      </c>
      <c r="J28" s="2">
        <v>1958</v>
      </c>
      <c r="K28" s="2">
        <f>RANK(I28,I$25:I$28)</f>
        <v>1</v>
      </c>
      <c r="L28" s="2">
        <f>SUMPRODUCT((I$25:I$28=I28)*(H$25:H$28&gt;H28))</f>
        <v>0</v>
      </c>
      <c r="M28" s="2">
        <f>SUMPRODUCT((I$25:I$28=I28)*(H$25:H$28=H28)*(F$25:F$28&gt;F28))</f>
        <v>0</v>
      </c>
      <c r="N28" s="2">
        <f>SUMPRODUCT((I$25:I$28=I28)*(H$25:H$28=H28)*(F$25:F$28=F28)*(J$25:J$28&gt;J28))</f>
        <v>3</v>
      </c>
      <c r="O28" s="2">
        <f>IF(X28=X27,IF(X28=3,4,X28),IF(X28=5,3,IF(X28=6,4,X28)))</f>
        <v>4</v>
      </c>
      <c r="P28" s="2" t="str">
        <f>VLOOKUP(4,A$25:B$28,2,FALSE)</f>
        <v>Russia</v>
      </c>
      <c r="Q28" s="2">
        <f>SUMIF(B$4:B$28,P28,F$4:F$28)</f>
        <v>0</v>
      </c>
      <c r="R28" s="2">
        <f>SUMIF(B$4:B$28,P28,H$4:H$28)</f>
        <v>100</v>
      </c>
      <c r="S28" s="29">
        <f>SUMIF(B$4:B$28,P28,I$4:I$28)</f>
        <v>0</v>
      </c>
      <c r="T28" s="2">
        <f t="shared" si="9"/>
        <v>1</v>
      </c>
      <c r="U28" s="2">
        <f t="shared" si="9"/>
        <v>0</v>
      </c>
      <c r="V28" s="2">
        <f t="shared" si="9"/>
        <v>0</v>
      </c>
      <c r="W28" s="2">
        <f>SUMIF($B$4:$B$28,$P28,J$4:J$28)</f>
        <v>1958</v>
      </c>
      <c r="X28" s="2">
        <f>IF(Y28=0,T28,T28+AG28+AH28+AI28+AJ28+AK28+AL28)</f>
        <v>4</v>
      </c>
      <c r="Y28" s="2" t="str">
        <f>IF(Y27=0,0,IF(COUNTIF(S$25:S$28,S28)=1,0,P28))</f>
        <v>Russia</v>
      </c>
      <c r="Z28" s="2">
        <f>SUMIF($AW$4:$AW$27,Y28,$AV$4:$AV$27)+SUMIF($AZ$4:$AZ$27,Y28,$AV$4:$AV$27)</f>
        <v>0</v>
      </c>
      <c r="AA28" s="2">
        <f>SUMIF($AX$4:$AX$27,$Y28,$AV$4:$AV$27)+SUMIF($BA$4:$BA$27,$Y28,$AV$4:$AV$27)</f>
        <v>0</v>
      </c>
      <c r="AB28" s="2">
        <f>SUMIF($AY$4:$AY$27,$Y28,$AV$4:$AV$27)+SUMIF($BB$4:$BB$27,$Y28,$AV$4:$AV$27)</f>
        <v>0</v>
      </c>
      <c r="AC28" s="2">
        <f>SUMIF(AW$4:AW$27,Y28,AQ$4:AQ$27)+SUMIF(AZ$4:AZ$27,Y28,AU$4:AU$27)+SUMIF(AX$4:AX$27,Y28,AQ$4:AQ$27)+SUMIF(BA$4:BA$27,Y28,AU$4:AU$27)</f>
        <v>0</v>
      </c>
      <c r="AD28" s="2">
        <f>SUMIF(AY$4:AY$27,Y28,AQ$4:AQ$27)+SUMIF(BB$4:BB$27,Y28,AU$4:AU$27)+SUMIF(AX$4:AX$27,Y28,AQ$4:AQ$27)+SUMIF(BA$4:BA$27,Y28,AU$4:AU$27)</f>
        <v>0</v>
      </c>
      <c r="AE28" s="2">
        <f>AC28-AD28+100</f>
        <v>100</v>
      </c>
      <c r="AF28" s="29">
        <f>IF(Y28&lt;&gt;0,Z28*3+AA28,"")</f>
        <v>0</v>
      </c>
      <c r="AG28" s="2">
        <f>IF(Y28&lt;&gt;0,RANK(AF28,AF$25:AF$28)-1,5)</f>
        <v>0</v>
      </c>
      <c r="AH28" s="2">
        <f>IF(Y28&lt;&gt;0,SUMPRODUCT((AF$25:AF$28=AF28)*(AE$25:AE$28&gt;AE28)),5)</f>
        <v>0</v>
      </c>
      <c r="AI28" s="2">
        <f>IF(Y28&lt;&gt;0,SUMPRODUCT((AF$25:AF$28=AF28)*(AE$25:AE$28=AE28)*(AC$25:AC$28&gt;AC28)),5)</f>
        <v>0</v>
      </c>
      <c r="AJ28" s="2">
        <f>IF(Y28&lt;&gt;0,SUMPRODUCT(($AF$25:$AF$28=AF28)*($AE$25:$AE$28=AE28)*($AC$25:$AC$28=AC28)*($R$25:$R$28&gt;R28)),5)</f>
        <v>0</v>
      </c>
      <c r="AK28" s="2">
        <f>IF(Y28&lt;&gt;0,SUMPRODUCT(($AF$25:$AF$28=AF28)*($AE$25:$AE$28=AE28)*($AC$25:$AC$28=AC28)*($R$25:$R$28=R28)*($Q$25:$Q$28&gt;Q28)),5)</f>
        <v>0</v>
      </c>
      <c r="AL28" s="2">
        <f>IF($Y28&lt;&gt;0,SUMPRODUCT(($AF$25:$AF$28=$AF28)*($AE$25:$AE$28=$AE28)*($AC$25:$AC$28=$AC28)*($R$25:$R$28=$R28)*($Q$25:$Q$28=$Q28)*($W$25:$W$28&gt;$W28)),5)</f>
        <v>3</v>
      </c>
    </row>
  </sheetData>
  <sheetProtection password="ECEE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9"/>
  <sheetViews>
    <sheetView showGridLines="0" workbookViewId="0" topLeftCell="A1">
      <selection activeCell="F10" sqref="F10"/>
    </sheetView>
  </sheetViews>
  <sheetFormatPr defaultColWidth="9.140625" defaultRowHeight="12.75"/>
  <cols>
    <col min="1" max="1" width="3.28125" style="30" bestFit="1" customWidth="1"/>
    <col min="2" max="2" width="35.8515625" style="30" bestFit="1" customWidth="1"/>
    <col min="3" max="3" width="9.140625" style="30" customWidth="1"/>
    <col min="4" max="4" width="11.8515625" style="30" bestFit="1" customWidth="1"/>
    <col min="5" max="16384" width="9.140625" style="30" customWidth="1"/>
  </cols>
  <sheetData>
    <row r="1" spans="3:30" ht="12.75">
      <c r="C1" s="31" t="s">
        <v>284</v>
      </c>
      <c r="D1" s="31" t="s">
        <v>390</v>
      </c>
      <c r="E1" s="31" t="s">
        <v>370</v>
      </c>
      <c r="F1" s="31" t="s">
        <v>301</v>
      </c>
      <c r="G1" s="31" t="s">
        <v>169</v>
      </c>
      <c r="H1" s="31" t="s">
        <v>407</v>
      </c>
      <c r="I1" s="31" t="s">
        <v>352</v>
      </c>
      <c r="J1" s="31" t="s">
        <v>218</v>
      </c>
      <c r="K1" s="31" t="s">
        <v>208</v>
      </c>
      <c r="L1" s="31" t="s">
        <v>259</v>
      </c>
      <c r="M1" s="31" t="s">
        <v>18</v>
      </c>
      <c r="N1" s="31" t="s">
        <v>102</v>
      </c>
      <c r="O1" s="31" t="s">
        <v>318</v>
      </c>
      <c r="P1" s="31" t="s">
        <v>186</v>
      </c>
      <c r="Q1" s="31" t="s">
        <v>112</v>
      </c>
      <c r="R1" s="31" t="s">
        <v>143</v>
      </c>
      <c r="S1" s="31" t="s">
        <v>373</v>
      </c>
      <c r="T1" s="31" t="s">
        <v>230</v>
      </c>
      <c r="U1" s="31" t="s">
        <v>142</v>
      </c>
      <c r="V1" s="31" t="s">
        <v>113</v>
      </c>
      <c r="W1" s="31" t="s">
        <v>193</v>
      </c>
      <c r="X1" s="31" t="s">
        <v>325</v>
      </c>
      <c r="Y1" s="31" t="s">
        <v>276</v>
      </c>
      <c r="Z1" s="31" t="s">
        <v>244</v>
      </c>
      <c r="AA1" s="31" t="s">
        <v>101</v>
      </c>
      <c r="AB1" s="31" t="s">
        <v>342</v>
      </c>
      <c r="AC1" s="31" t="s">
        <v>367</v>
      </c>
      <c r="AD1" s="32" t="s">
        <v>42</v>
      </c>
    </row>
    <row r="2" spans="1:2" ht="12.75">
      <c r="A2" s="30">
        <v>1</v>
      </c>
      <c r="B2" s="33" t="s">
        <v>38</v>
      </c>
    </row>
    <row r="3" spans="1:30" ht="12.75">
      <c r="A3" s="30">
        <v>2</v>
      </c>
      <c r="B3" s="33" t="s">
        <v>16</v>
      </c>
      <c r="C3" s="26" t="s">
        <v>277</v>
      </c>
      <c r="D3" s="26" t="s">
        <v>374</v>
      </c>
      <c r="E3" s="26" t="s">
        <v>39</v>
      </c>
      <c r="F3" s="26" t="s">
        <v>285</v>
      </c>
      <c r="G3" s="26" t="s">
        <v>114</v>
      </c>
      <c r="H3" s="26" t="s">
        <v>391</v>
      </c>
      <c r="I3" s="26" t="s">
        <v>343</v>
      </c>
      <c r="J3" s="26" t="s">
        <v>209</v>
      </c>
      <c r="K3" s="26" t="s">
        <v>194</v>
      </c>
      <c r="L3" s="26" t="s">
        <v>245</v>
      </c>
      <c r="M3" s="26" t="s">
        <v>60</v>
      </c>
      <c r="N3" s="26" t="s">
        <v>74</v>
      </c>
      <c r="O3" s="26" t="s">
        <v>302</v>
      </c>
      <c r="P3" s="26" t="s">
        <v>170</v>
      </c>
      <c r="Q3" s="26" t="s">
        <v>103</v>
      </c>
      <c r="R3" s="26" t="s">
        <v>144</v>
      </c>
      <c r="S3" s="26" t="s">
        <v>39</v>
      </c>
      <c r="T3" s="26" t="s">
        <v>144</v>
      </c>
      <c r="U3" s="26" t="s">
        <v>127</v>
      </c>
      <c r="V3" s="26" t="s">
        <v>114</v>
      </c>
      <c r="W3" s="26" t="s">
        <v>187</v>
      </c>
      <c r="X3" s="26" t="s">
        <v>285</v>
      </c>
      <c r="Y3" s="26" t="s">
        <v>260</v>
      </c>
      <c r="Z3" s="26" t="s">
        <v>231</v>
      </c>
      <c r="AA3" s="26" t="s">
        <v>89</v>
      </c>
      <c r="AB3" s="26" t="s">
        <v>326</v>
      </c>
      <c r="AC3" s="26" t="s">
        <v>353</v>
      </c>
      <c r="AD3" s="33" t="s">
        <v>16</v>
      </c>
    </row>
    <row r="4" spans="1:30" ht="12.75">
      <c r="A4" s="30">
        <v>3</v>
      </c>
      <c r="B4" s="33" t="s">
        <v>4</v>
      </c>
      <c r="C4" s="26" t="s">
        <v>278</v>
      </c>
      <c r="D4" s="26" t="s">
        <v>375</v>
      </c>
      <c r="E4" s="26" t="s">
        <v>40</v>
      </c>
      <c r="F4" s="26" t="s">
        <v>286</v>
      </c>
      <c r="G4" s="26" t="s">
        <v>160</v>
      </c>
      <c r="H4" s="26" t="s">
        <v>392</v>
      </c>
      <c r="I4" s="26" t="s">
        <v>344</v>
      </c>
      <c r="J4" s="26" t="s">
        <v>75</v>
      </c>
      <c r="K4" s="26" t="s">
        <v>195</v>
      </c>
      <c r="L4" s="26" t="s">
        <v>246</v>
      </c>
      <c r="M4" s="26" t="s">
        <v>61</v>
      </c>
      <c r="N4" s="26" t="s">
        <v>75</v>
      </c>
      <c r="O4" s="26" t="s">
        <v>303</v>
      </c>
      <c r="P4" s="26" t="s">
        <v>171</v>
      </c>
      <c r="Q4" s="26" t="s">
        <v>104</v>
      </c>
      <c r="R4" s="26" t="s">
        <v>145</v>
      </c>
      <c r="S4" s="26" t="s">
        <v>4</v>
      </c>
      <c r="T4" s="26" t="s">
        <v>104</v>
      </c>
      <c r="U4" s="26" t="s">
        <v>128</v>
      </c>
      <c r="V4" s="26" t="s">
        <v>115</v>
      </c>
      <c r="W4" s="26" t="s">
        <v>188</v>
      </c>
      <c r="X4" s="26" t="s">
        <v>286</v>
      </c>
      <c r="Y4" s="26" t="s">
        <v>261</v>
      </c>
      <c r="Z4" s="26" t="s">
        <v>232</v>
      </c>
      <c r="AA4" s="26" t="s">
        <v>90</v>
      </c>
      <c r="AB4" s="26" t="s">
        <v>327</v>
      </c>
      <c r="AC4" s="26" t="s">
        <v>354</v>
      </c>
      <c r="AD4" s="33" t="s">
        <v>4</v>
      </c>
    </row>
    <row r="5" spans="1:30" ht="12.75">
      <c r="A5" s="30">
        <v>4</v>
      </c>
      <c r="B5" s="33" t="s">
        <v>5</v>
      </c>
      <c r="C5" s="26" t="s">
        <v>129</v>
      </c>
      <c r="D5" s="26" t="s">
        <v>376</v>
      </c>
      <c r="E5" s="26" t="s">
        <v>5</v>
      </c>
      <c r="F5" s="26" t="s">
        <v>287</v>
      </c>
      <c r="G5" s="26" t="s">
        <v>5</v>
      </c>
      <c r="H5" s="26" t="s">
        <v>393</v>
      </c>
      <c r="I5" s="26" t="s">
        <v>5</v>
      </c>
      <c r="J5" s="26" t="s">
        <v>5</v>
      </c>
      <c r="K5" s="26" t="s">
        <v>5</v>
      </c>
      <c r="L5" s="26" t="s">
        <v>247</v>
      </c>
      <c r="M5" s="26" t="s">
        <v>5</v>
      </c>
      <c r="N5" s="26" t="s">
        <v>5</v>
      </c>
      <c r="O5" s="26" t="s">
        <v>304</v>
      </c>
      <c r="P5" s="26" t="s">
        <v>172</v>
      </c>
      <c r="Q5" s="26" t="s">
        <v>105</v>
      </c>
      <c r="R5" s="26" t="s">
        <v>146</v>
      </c>
      <c r="S5" s="26" t="s">
        <v>5</v>
      </c>
      <c r="T5" s="26" t="s">
        <v>5</v>
      </c>
      <c r="U5" s="26" t="s">
        <v>129</v>
      </c>
      <c r="V5" s="26" t="s">
        <v>5</v>
      </c>
      <c r="W5" s="26" t="s">
        <v>129</v>
      </c>
      <c r="X5" s="26" t="s">
        <v>287</v>
      </c>
      <c r="Y5" s="26" t="s">
        <v>262</v>
      </c>
      <c r="Z5" s="26" t="s">
        <v>233</v>
      </c>
      <c r="AA5" s="26" t="s">
        <v>5</v>
      </c>
      <c r="AB5" s="26" t="s">
        <v>328</v>
      </c>
      <c r="AC5" s="26" t="s">
        <v>355</v>
      </c>
      <c r="AD5" s="33" t="s">
        <v>5</v>
      </c>
    </row>
    <row r="6" spans="1:30" ht="12.75">
      <c r="A6" s="30">
        <v>5</v>
      </c>
      <c r="B6" s="33" t="s">
        <v>12</v>
      </c>
      <c r="C6" s="26" t="s">
        <v>279</v>
      </c>
      <c r="D6" s="26" t="s">
        <v>377</v>
      </c>
      <c r="E6" s="26" t="s">
        <v>368</v>
      </c>
      <c r="F6" s="26" t="s">
        <v>288</v>
      </c>
      <c r="G6" s="26" t="s">
        <v>161</v>
      </c>
      <c r="H6" s="26" t="s">
        <v>394</v>
      </c>
      <c r="I6" s="26" t="s">
        <v>234</v>
      </c>
      <c r="J6" s="26" t="s">
        <v>210</v>
      </c>
      <c r="K6" s="26" t="s">
        <v>196</v>
      </c>
      <c r="L6" s="26" t="s">
        <v>248</v>
      </c>
      <c r="M6" s="26" t="s">
        <v>62</v>
      </c>
      <c r="N6" s="26" t="s">
        <v>76</v>
      </c>
      <c r="O6" s="26" t="s">
        <v>305</v>
      </c>
      <c r="P6" s="26" t="s">
        <v>173</v>
      </c>
      <c r="Q6" s="26" t="s">
        <v>106</v>
      </c>
      <c r="R6" s="26" t="s">
        <v>147</v>
      </c>
      <c r="S6" s="26" t="s">
        <v>371</v>
      </c>
      <c r="T6" s="26" t="s">
        <v>219</v>
      </c>
      <c r="U6" s="26" t="s">
        <v>130</v>
      </c>
      <c r="V6" s="26" t="s">
        <v>91</v>
      </c>
      <c r="W6" s="26" t="s">
        <v>189</v>
      </c>
      <c r="X6" s="26" t="s">
        <v>288</v>
      </c>
      <c r="Y6" s="26" t="s">
        <v>263</v>
      </c>
      <c r="Z6" s="26" t="s">
        <v>234</v>
      </c>
      <c r="AA6" s="26" t="s">
        <v>91</v>
      </c>
      <c r="AB6" s="26" t="s">
        <v>329</v>
      </c>
      <c r="AC6" s="26" t="s">
        <v>356</v>
      </c>
      <c r="AD6" s="33" t="s">
        <v>12</v>
      </c>
    </row>
    <row r="7" spans="1:30" ht="12.75">
      <c r="A7" s="30">
        <v>6</v>
      </c>
      <c r="B7" s="33" t="s">
        <v>17</v>
      </c>
      <c r="C7" s="26" t="s">
        <v>92</v>
      </c>
      <c r="D7" s="26" t="s">
        <v>378</v>
      </c>
      <c r="E7" s="26" t="s">
        <v>45</v>
      </c>
      <c r="F7" s="26" t="s">
        <v>289</v>
      </c>
      <c r="G7" s="26" t="s">
        <v>162</v>
      </c>
      <c r="H7" s="26" t="s">
        <v>395</v>
      </c>
      <c r="I7" s="26" t="s">
        <v>345</v>
      </c>
      <c r="J7" s="26" t="s">
        <v>77</v>
      </c>
      <c r="K7" s="26" t="s">
        <v>77</v>
      </c>
      <c r="L7" s="26" t="s">
        <v>249</v>
      </c>
      <c r="M7" s="26" t="s">
        <v>63</v>
      </c>
      <c r="N7" s="26" t="s">
        <v>77</v>
      </c>
      <c r="O7" s="26" t="s">
        <v>306</v>
      </c>
      <c r="P7" s="26" t="s">
        <v>174</v>
      </c>
      <c r="Q7" s="26" t="s">
        <v>92</v>
      </c>
      <c r="R7" s="26" t="s">
        <v>148</v>
      </c>
      <c r="S7" s="26" t="s">
        <v>17</v>
      </c>
      <c r="T7" s="26" t="s">
        <v>220</v>
      </c>
      <c r="U7" s="26" t="s">
        <v>131</v>
      </c>
      <c r="V7" s="26" t="s">
        <v>116</v>
      </c>
      <c r="W7" s="26" t="s">
        <v>92</v>
      </c>
      <c r="X7" s="26" t="s">
        <v>319</v>
      </c>
      <c r="Y7" s="26" t="s">
        <v>264</v>
      </c>
      <c r="Z7" s="26" t="s">
        <v>131</v>
      </c>
      <c r="AA7" s="26" t="s">
        <v>92</v>
      </c>
      <c r="AB7" s="26" t="s">
        <v>330</v>
      </c>
      <c r="AC7" s="26" t="s">
        <v>357</v>
      </c>
      <c r="AD7" s="33" t="s">
        <v>17</v>
      </c>
    </row>
    <row r="8" spans="1:30" ht="12.75">
      <c r="A8" s="30">
        <v>7</v>
      </c>
      <c r="B8" s="33" t="s">
        <v>7</v>
      </c>
      <c r="C8" s="26" t="s">
        <v>280</v>
      </c>
      <c r="D8" s="26" t="s">
        <v>379</v>
      </c>
      <c r="E8" s="26" t="s">
        <v>44</v>
      </c>
      <c r="F8" s="26" t="s">
        <v>290</v>
      </c>
      <c r="G8" s="26" t="s">
        <v>163</v>
      </c>
      <c r="H8" s="26" t="s">
        <v>396</v>
      </c>
      <c r="I8" s="26" t="s">
        <v>346</v>
      </c>
      <c r="J8" s="26" t="s">
        <v>211</v>
      </c>
      <c r="K8" s="26" t="s">
        <v>197</v>
      </c>
      <c r="L8" s="26" t="s">
        <v>250</v>
      </c>
      <c r="M8" s="26" t="s">
        <v>64</v>
      </c>
      <c r="N8" s="26" t="s">
        <v>78</v>
      </c>
      <c r="O8" s="26" t="s">
        <v>307</v>
      </c>
      <c r="P8" s="26" t="s">
        <v>175</v>
      </c>
      <c r="Q8" s="26" t="s">
        <v>107</v>
      </c>
      <c r="R8" s="26" t="s">
        <v>149</v>
      </c>
      <c r="S8" s="26" t="s">
        <v>44</v>
      </c>
      <c r="T8" s="26" t="s">
        <v>221</v>
      </c>
      <c r="U8" s="26" t="s">
        <v>132</v>
      </c>
      <c r="V8" s="26" t="s">
        <v>117</v>
      </c>
      <c r="W8" s="26" t="s">
        <v>107</v>
      </c>
      <c r="X8" s="26" t="s">
        <v>290</v>
      </c>
      <c r="Y8" s="26" t="s">
        <v>265</v>
      </c>
      <c r="Z8" s="26" t="s">
        <v>235</v>
      </c>
      <c r="AA8" s="26" t="s">
        <v>93</v>
      </c>
      <c r="AB8" s="26" t="s">
        <v>331</v>
      </c>
      <c r="AC8" s="26" t="s">
        <v>358</v>
      </c>
      <c r="AD8" s="33" t="s">
        <v>7</v>
      </c>
    </row>
    <row r="9" spans="1:30" ht="12.75">
      <c r="A9" s="30">
        <v>8</v>
      </c>
      <c r="B9" s="33" t="s">
        <v>13</v>
      </c>
      <c r="C9" s="26" t="s">
        <v>281</v>
      </c>
      <c r="D9" s="26" t="s">
        <v>380</v>
      </c>
      <c r="E9" s="26" t="s">
        <v>43</v>
      </c>
      <c r="F9" s="26" t="s">
        <v>291</v>
      </c>
      <c r="G9" s="26" t="s">
        <v>164</v>
      </c>
      <c r="H9" s="26" t="s">
        <v>397</v>
      </c>
      <c r="I9" s="26" t="s">
        <v>347</v>
      </c>
      <c r="J9" s="26" t="s">
        <v>79</v>
      </c>
      <c r="K9" s="26" t="s">
        <v>198</v>
      </c>
      <c r="L9" s="26" t="s">
        <v>251</v>
      </c>
      <c r="M9" s="26" t="s">
        <v>65</v>
      </c>
      <c r="N9" s="26" t="s">
        <v>79</v>
      </c>
      <c r="O9" s="26" t="s">
        <v>308</v>
      </c>
      <c r="P9" s="26" t="s">
        <v>176</v>
      </c>
      <c r="Q9" s="26" t="s">
        <v>108</v>
      </c>
      <c r="R9" s="26" t="s">
        <v>150</v>
      </c>
      <c r="S9" s="26" t="s">
        <v>13</v>
      </c>
      <c r="T9" s="26" t="s">
        <v>222</v>
      </c>
      <c r="U9" s="26" t="s">
        <v>133</v>
      </c>
      <c r="V9" s="26" t="s">
        <v>118</v>
      </c>
      <c r="W9" s="26" t="s">
        <v>13</v>
      </c>
      <c r="X9" s="26" t="s">
        <v>320</v>
      </c>
      <c r="Y9" s="26" t="s">
        <v>266</v>
      </c>
      <c r="Z9" s="26" t="s">
        <v>236</v>
      </c>
      <c r="AA9" s="26" t="s">
        <v>94</v>
      </c>
      <c r="AB9" s="26" t="s">
        <v>332</v>
      </c>
      <c r="AC9" s="26" t="s">
        <v>13</v>
      </c>
      <c r="AD9" s="33" t="s">
        <v>13</v>
      </c>
    </row>
    <row r="10" spans="1:30" ht="12.75">
      <c r="A10" s="30">
        <v>9</v>
      </c>
      <c r="B10" s="33" t="s">
        <v>6</v>
      </c>
      <c r="C10" s="26" t="s">
        <v>6</v>
      </c>
      <c r="D10" s="26" t="s">
        <v>381</v>
      </c>
      <c r="E10" s="26" t="s">
        <v>6</v>
      </c>
      <c r="F10" s="26" t="s">
        <v>292</v>
      </c>
      <c r="G10" s="26" t="s">
        <v>6</v>
      </c>
      <c r="H10" s="26" t="s">
        <v>398</v>
      </c>
      <c r="I10" s="26" t="s">
        <v>151</v>
      </c>
      <c r="J10" s="26" t="s">
        <v>212</v>
      </c>
      <c r="K10" s="26" t="s">
        <v>199</v>
      </c>
      <c r="L10" s="26" t="s">
        <v>252</v>
      </c>
      <c r="M10" s="26" t="s">
        <v>66</v>
      </c>
      <c r="N10" s="26" t="s">
        <v>80</v>
      </c>
      <c r="O10" s="26" t="s">
        <v>309</v>
      </c>
      <c r="P10" s="26" t="s">
        <v>177</v>
      </c>
      <c r="Q10" s="26" t="s">
        <v>6</v>
      </c>
      <c r="R10" s="26" t="s">
        <v>151</v>
      </c>
      <c r="S10" s="26" t="s">
        <v>6</v>
      </c>
      <c r="T10" s="26" t="s">
        <v>151</v>
      </c>
      <c r="U10" s="26" t="s">
        <v>6</v>
      </c>
      <c r="V10" s="26" t="s">
        <v>119</v>
      </c>
      <c r="W10" s="26" t="s">
        <v>6</v>
      </c>
      <c r="X10" s="26" t="s">
        <v>292</v>
      </c>
      <c r="Y10" s="26" t="s">
        <v>267</v>
      </c>
      <c r="Z10" s="26" t="s">
        <v>237</v>
      </c>
      <c r="AA10" s="26" t="s">
        <v>6</v>
      </c>
      <c r="AB10" s="26" t="s">
        <v>333</v>
      </c>
      <c r="AC10" s="26" t="s">
        <v>359</v>
      </c>
      <c r="AD10" s="33" t="s">
        <v>6</v>
      </c>
    </row>
    <row r="11" spans="1:30" ht="12.75">
      <c r="A11" s="30">
        <v>10</v>
      </c>
      <c r="B11" s="33" t="s">
        <v>14</v>
      </c>
      <c r="C11" s="26" t="s">
        <v>47</v>
      </c>
      <c r="D11" s="26" t="s">
        <v>382</v>
      </c>
      <c r="E11" s="26" t="s">
        <v>369</v>
      </c>
      <c r="F11" s="26" t="s">
        <v>293</v>
      </c>
      <c r="G11" s="26" t="s">
        <v>165</v>
      </c>
      <c r="H11" s="26" t="s">
        <v>399</v>
      </c>
      <c r="I11" s="26" t="s">
        <v>152</v>
      </c>
      <c r="J11" s="26" t="s">
        <v>81</v>
      </c>
      <c r="K11" s="26" t="s">
        <v>200</v>
      </c>
      <c r="L11" s="26" t="s">
        <v>47</v>
      </c>
      <c r="M11" s="26" t="s">
        <v>67</v>
      </c>
      <c r="N11" s="26" t="s">
        <v>81</v>
      </c>
      <c r="O11" s="26" t="s">
        <v>310</v>
      </c>
      <c r="P11" s="26" t="s">
        <v>178</v>
      </c>
      <c r="Q11" s="26" t="s">
        <v>47</v>
      </c>
      <c r="R11" s="26" t="s">
        <v>152</v>
      </c>
      <c r="S11" s="26" t="s">
        <v>369</v>
      </c>
      <c r="T11" s="26" t="s">
        <v>223</v>
      </c>
      <c r="U11" s="26" t="s">
        <v>134</v>
      </c>
      <c r="V11" s="26" t="s">
        <v>120</v>
      </c>
      <c r="W11" s="26" t="s">
        <v>47</v>
      </c>
      <c r="X11" s="26" t="s">
        <v>293</v>
      </c>
      <c r="Y11" s="26" t="s">
        <v>268</v>
      </c>
      <c r="Z11" s="26" t="s">
        <v>152</v>
      </c>
      <c r="AA11" s="26" t="s">
        <v>47</v>
      </c>
      <c r="AB11" s="26" t="s">
        <v>334</v>
      </c>
      <c r="AC11" s="26" t="s">
        <v>47</v>
      </c>
      <c r="AD11" s="33" t="s">
        <v>14</v>
      </c>
    </row>
    <row r="12" spans="1:30" ht="12.75">
      <c r="A12" s="30">
        <v>11</v>
      </c>
      <c r="B12" s="33" t="s">
        <v>9</v>
      </c>
      <c r="C12" s="26" t="s">
        <v>95</v>
      </c>
      <c r="D12" s="26" t="s">
        <v>383</v>
      </c>
      <c r="E12" s="26" t="s">
        <v>46</v>
      </c>
      <c r="F12" s="26" t="s">
        <v>294</v>
      </c>
      <c r="G12" s="26" t="s">
        <v>95</v>
      </c>
      <c r="H12" s="26" t="s">
        <v>400</v>
      </c>
      <c r="I12" s="26" t="s">
        <v>238</v>
      </c>
      <c r="J12" s="26" t="s">
        <v>213</v>
      </c>
      <c r="K12" s="26" t="s">
        <v>201</v>
      </c>
      <c r="L12" s="26" t="s">
        <v>253</v>
      </c>
      <c r="M12" s="26" t="s">
        <v>68</v>
      </c>
      <c r="N12" s="26" t="s">
        <v>82</v>
      </c>
      <c r="O12" s="26" t="s">
        <v>311</v>
      </c>
      <c r="P12" s="26" t="s">
        <v>179</v>
      </c>
      <c r="Q12" s="26" t="s">
        <v>109</v>
      </c>
      <c r="R12" s="26" t="s">
        <v>153</v>
      </c>
      <c r="S12" s="26" t="s">
        <v>46</v>
      </c>
      <c r="T12" s="26" t="s">
        <v>109</v>
      </c>
      <c r="U12" s="26" t="s">
        <v>135</v>
      </c>
      <c r="V12" s="26" t="s">
        <v>95</v>
      </c>
      <c r="W12" s="26" t="s">
        <v>109</v>
      </c>
      <c r="X12" s="26" t="s">
        <v>321</v>
      </c>
      <c r="Y12" s="26" t="s">
        <v>269</v>
      </c>
      <c r="Z12" s="26" t="s">
        <v>238</v>
      </c>
      <c r="AA12" s="26" t="s">
        <v>95</v>
      </c>
      <c r="AB12" s="26" t="s">
        <v>335</v>
      </c>
      <c r="AC12" s="26" t="s">
        <v>360</v>
      </c>
      <c r="AD12" s="33" t="s">
        <v>9</v>
      </c>
    </row>
    <row r="13" spans="1:30" ht="12.75">
      <c r="A13" s="30">
        <v>12</v>
      </c>
      <c r="B13" s="33" t="s">
        <v>8</v>
      </c>
      <c r="C13" s="26" t="s">
        <v>48</v>
      </c>
      <c r="D13" s="26" t="s">
        <v>384</v>
      </c>
      <c r="E13" s="26" t="s">
        <v>8</v>
      </c>
      <c r="F13" s="26" t="s">
        <v>295</v>
      </c>
      <c r="G13" s="26" t="s">
        <v>48</v>
      </c>
      <c r="H13" s="26" t="s">
        <v>401</v>
      </c>
      <c r="I13" s="26" t="s">
        <v>348</v>
      </c>
      <c r="J13" s="26" t="s">
        <v>214</v>
      </c>
      <c r="K13" s="26" t="s">
        <v>202</v>
      </c>
      <c r="L13" s="26" t="s">
        <v>8</v>
      </c>
      <c r="M13" s="26" t="s">
        <v>69</v>
      </c>
      <c r="N13" s="26" t="s">
        <v>83</v>
      </c>
      <c r="O13" s="26" t="s">
        <v>312</v>
      </c>
      <c r="P13" s="26" t="s">
        <v>180</v>
      </c>
      <c r="Q13" s="26" t="s">
        <v>8</v>
      </c>
      <c r="R13" s="26" t="s">
        <v>154</v>
      </c>
      <c r="S13" s="26" t="s">
        <v>8</v>
      </c>
      <c r="T13" s="26" t="s">
        <v>224</v>
      </c>
      <c r="U13" s="26" t="s">
        <v>136</v>
      </c>
      <c r="V13" s="26" t="s">
        <v>121</v>
      </c>
      <c r="W13" s="26" t="s">
        <v>8</v>
      </c>
      <c r="X13" s="26" t="s">
        <v>322</v>
      </c>
      <c r="Y13" s="26" t="s">
        <v>270</v>
      </c>
      <c r="Z13" s="26" t="s">
        <v>239</v>
      </c>
      <c r="AA13" s="26" t="s">
        <v>96</v>
      </c>
      <c r="AB13" s="26" t="s">
        <v>336</v>
      </c>
      <c r="AC13" s="26" t="s">
        <v>361</v>
      </c>
      <c r="AD13" s="33" t="s">
        <v>8</v>
      </c>
    </row>
    <row r="14" spans="1:30" ht="12.75">
      <c r="A14" s="30">
        <v>13</v>
      </c>
      <c r="B14" s="33" t="s">
        <v>18</v>
      </c>
      <c r="C14" s="26" t="s">
        <v>282</v>
      </c>
      <c r="D14" s="26" t="s">
        <v>385</v>
      </c>
      <c r="E14" s="26" t="s">
        <v>49</v>
      </c>
      <c r="F14" s="26" t="s">
        <v>296</v>
      </c>
      <c r="G14" s="26" t="s">
        <v>122</v>
      </c>
      <c r="H14" s="26" t="s">
        <v>402</v>
      </c>
      <c r="I14" s="26" t="s">
        <v>349</v>
      </c>
      <c r="J14" s="26" t="s">
        <v>215</v>
      </c>
      <c r="K14" s="26" t="s">
        <v>203</v>
      </c>
      <c r="L14" s="26" t="s">
        <v>254</v>
      </c>
      <c r="M14" s="26" t="s">
        <v>18</v>
      </c>
      <c r="N14" s="26" t="s">
        <v>84</v>
      </c>
      <c r="O14" s="26" t="s">
        <v>313</v>
      </c>
      <c r="P14" s="26" t="s">
        <v>181</v>
      </c>
      <c r="Q14" s="26" t="s">
        <v>97</v>
      </c>
      <c r="R14" s="26" t="s">
        <v>155</v>
      </c>
      <c r="S14" s="26" t="s">
        <v>49</v>
      </c>
      <c r="T14" s="26" t="s">
        <v>225</v>
      </c>
      <c r="U14" s="26" t="s">
        <v>137</v>
      </c>
      <c r="V14" s="26" t="s">
        <v>122</v>
      </c>
      <c r="W14" s="26" t="s">
        <v>190</v>
      </c>
      <c r="X14" s="26" t="s">
        <v>296</v>
      </c>
      <c r="Y14" s="26" t="s">
        <v>271</v>
      </c>
      <c r="Z14" s="26" t="s">
        <v>240</v>
      </c>
      <c r="AA14" s="26" t="s">
        <v>97</v>
      </c>
      <c r="AB14" s="26" t="s">
        <v>337</v>
      </c>
      <c r="AC14" s="26" t="s">
        <v>362</v>
      </c>
      <c r="AD14" s="33" t="s">
        <v>18</v>
      </c>
    </row>
    <row r="15" spans="1:30" ht="12.75">
      <c r="A15" s="30">
        <v>14</v>
      </c>
      <c r="B15" s="33" t="s">
        <v>15</v>
      </c>
      <c r="C15" s="26" t="s">
        <v>191</v>
      </c>
      <c r="D15" s="26" t="s">
        <v>386</v>
      </c>
      <c r="E15" s="26" t="s">
        <v>50</v>
      </c>
      <c r="F15" s="26" t="s">
        <v>297</v>
      </c>
      <c r="G15" s="26" t="s">
        <v>166</v>
      </c>
      <c r="H15" s="26" t="s">
        <v>403</v>
      </c>
      <c r="I15" s="26" t="s">
        <v>241</v>
      </c>
      <c r="J15" s="26" t="s">
        <v>216</v>
      </c>
      <c r="K15" s="26" t="s">
        <v>204</v>
      </c>
      <c r="L15" s="26" t="s">
        <v>255</v>
      </c>
      <c r="M15" s="26" t="s">
        <v>70</v>
      </c>
      <c r="N15" s="26" t="s">
        <v>85</v>
      </c>
      <c r="O15" s="26" t="s">
        <v>314</v>
      </c>
      <c r="P15" s="26" t="s">
        <v>182</v>
      </c>
      <c r="Q15" s="26" t="s">
        <v>110</v>
      </c>
      <c r="R15" s="26" t="s">
        <v>156</v>
      </c>
      <c r="S15" s="26" t="s">
        <v>15</v>
      </c>
      <c r="T15" s="26" t="s">
        <v>226</v>
      </c>
      <c r="U15" s="26" t="s">
        <v>138</v>
      </c>
      <c r="V15" s="26" t="s">
        <v>123</v>
      </c>
      <c r="W15" s="26" t="s">
        <v>191</v>
      </c>
      <c r="X15" s="26" t="s">
        <v>297</v>
      </c>
      <c r="Y15" s="26" t="s">
        <v>272</v>
      </c>
      <c r="Z15" s="26" t="s">
        <v>241</v>
      </c>
      <c r="AA15" s="26" t="s">
        <v>98</v>
      </c>
      <c r="AB15" s="26" t="s">
        <v>338</v>
      </c>
      <c r="AC15" s="26" t="s">
        <v>363</v>
      </c>
      <c r="AD15" s="33" t="s">
        <v>15</v>
      </c>
    </row>
    <row r="16" spans="1:30" ht="12.75">
      <c r="A16" s="30">
        <v>15</v>
      </c>
      <c r="B16" s="33" t="s">
        <v>11</v>
      </c>
      <c r="C16" s="26" t="s">
        <v>283</v>
      </c>
      <c r="D16" s="26" t="s">
        <v>387</v>
      </c>
      <c r="E16" s="26" t="s">
        <v>52</v>
      </c>
      <c r="F16" s="26" t="s">
        <v>298</v>
      </c>
      <c r="G16" s="26" t="s">
        <v>167</v>
      </c>
      <c r="H16" s="26" t="s">
        <v>404</v>
      </c>
      <c r="I16" s="26" t="s">
        <v>350</v>
      </c>
      <c r="J16" s="26" t="s">
        <v>217</v>
      </c>
      <c r="K16" s="26" t="s">
        <v>205</v>
      </c>
      <c r="L16" s="26" t="s">
        <v>256</v>
      </c>
      <c r="M16" s="26" t="s">
        <v>71</v>
      </c>
      <c r="N16" s="26" t="s">
        <v>86</v>
      </c>
      <c r="O16" s="26" t="s">
        <v>315</v>
      </c>
      <c r="P16" s="26" t="s">
        <v>183</v>
      </c>
      <c r="Q16" s="26" t="s">
        <v>99</v>
      </c>
      <c r="R16" s="26" t="s">
        <v>157</v>
      </c>
      <c r="S16" s="26" t="s">
        <v>11</v>
      </c>
      <c r="T16" s="26" t="s">
        <v>227</v>
      </c>
      <c r="U16" s="26" t="s">
        <v>139</v>
      </c>
      <c r="V16" s="26" t="s">
        <v>124</v>
      </c>
      <c r="W16" s="26" t="s">
        <v>99</v>
      </c>
      <c r="X16" s="26" t="s">
        <v>323</v>
      </c>
      <c r="Y16" s="26" t="s">
        <v>273</v>
      </c>
      <c r="Z16" s="26" t="s">
        <v>242</v>
      </c>
      <c r="AA16" s="26" t="s">
        <v>99</v>
      </c>
      <c r="AB16" s="26" t="s">
        <v>339</v>
      </c>
      <c r="AC16" s="26" t="s">
        <v>364</v>
      </c>
      <c r="AD16" s="33" t="s">
        <v>11</v>
      </c>
    </row>
    <row r="17" spans="1:30" ht="12.75">
      <c r="A17" s="30">
        <v>16</v>
      </c>
      <c r="B17" s="33" t="s">
        <v>19</v>
      </c>
      <c r="C17" s="26" t="s">
        <v>53</v>
      </c>
      <c r="D17" s="26" t="s">
        <v>388</v>
      </c>
      <c r="E17" s="26" t="s">
        <v>53</v>
      </c>
      <c r="F17" s="26" t="s">
        <v>299</v>
      </c>
      <c r="G17" s="26" t="s">
        <v>125</v>
      </c>
      <c r="H17" s="26" t="s">
        <v>405</v>
      </c>
      <c r="I17" s="26" t="s">
        <v>158</v>
      </c>
      <c r="J17" s="26" t="s">
        <v>206</v>
      </c>
      <c r="K17" s="26" t="s">
        <v>206</v>
      </c>
      <c r="L17" s="26" t="s">
        <v>257</v>
      </c>
      <c r="M17" s="26" t="s">
        <v>72</v>
      </c>
      <c r="N17" s="26" t="s">
        <v>87</v>
      </c>
      <c r="O17" s="26" t="s">
        <v>316</v>
      </c>
      <c r="P17" s="26" t="s">
        <v>184</v>
      </c>
      <c r="Q17" s="26" t="s">
        <v>19</v>
      </c>
      <c r="R17" s="26" t="s">
        <v>158</v>
      </c>
      <c r="S17" s="26" t="s">
        <v>53</v>
      </c>
      <c r="T17" s="26" t="s">
        <v>228</v>
      </c>
      <c r="U17" s="26" t="s">
        <v>140</v>
      </c>
      <c r="V17" s="26" t="s">
        <v>125</v>
      </c>
      <c r="W17" s="26" t="s">
        <v>53</v>
      </c>
      <c r="X17" s="26" t="s">
        <v>324</v>
      </c>
      <c r="Y17" s="26" t="s">
        <v>274</v>
      </c>
      <c r="Z17" s="26" t="s">
        <v>158</v>
      </c>
      <c r="AA17" s="26" t="s">
        <v>53</v>
      </c>
      <c r="AB17" s="26" t="s">
        <v>340</v>
      </c>
      <c r="AC17" s="26" t="s">
        <v>365</v>
      </c>
      <c r="AD17" s="33" t="s">
        <v>19</v>
      </c>
    </row>
    <row r="18" spans="1:30" ht="12.75">
      <c r="A18" s="30">
        <v>17</v>
      </c>
      <c r="B18" s="33" t="s">
        <v>10</v>
      </c>
      <c r="C18" s="26" t="s">
        <v>229</v>
      </c>
      <c r="D18" s="26" t="s">
        <v>389</v>
      </c>
      <c r="E18" s="26" t="s">
        <v>51</v>
      </c>
      <c r="F18" s="26" t="s">
        <v>300</v>
      </c>
      <c r="G18" s="26" t="s">
        <v>168</v>
      </c>
      <c r="H18" s="26" t="s">
        <v>406</v>
      </c>
      <c r="I18" s="26" t="s">
        <v>351</v>
      </c>
      <c r="J18" s="26" t="s">
        <v>88</v>
      </c>
      <c r="K18" s="26" t="s">
        <v>207</v>
      </c>
      <c r="L18" s="26" t="s">
        <v>258</v>
      </c>
      <c r="M18" s="26" t="s">
        <v>73</v>
      </c>
      <c r="N18" s="26" t="s">
        <v>88</v>
      </c>
      <c r="O18" s="26" t="s">
        <v>317</v>
      </c>
      <c r="P18" s="26" t="s">
        <v>185</v>
      </c>
      <c r="Q18" s="26" t="s">
        <v>111</v>
      </c>
      <c r="R18" s="26" t="s">
        <v>159</v>
      </c>
      <c r="S18" s="26" t="s">
        <v>372</v>
      </c>
      <c r="T18" s="26" t="s">
        <v>229</v>
      </c>
      <c r="U18" s="26" t="s">
        <v>141</v>
      </c>
      <c r="V18" s="26" t="s">
        <v>126</v>
      </c>
      <c r="W18" s="26" t="s">
        <v>192</v>
      </c>
      <c r="X18" s="26" t="s">
        <v>300</v>
      </c>
      <c r="Y18" s="26" t="s">
        <v>275</v>
      </c>
      <c r="Z18" s="26" t="s">
        <v>243</v>
      </c>
      <c r="AA18" s="26" t="s">
        <v>100</v>
      </c>
      <c r="AB18" s="26" t="s">
        <v>341</v>
      </c>
      <c r="AC18" s="26" t="s">
        <v>366</v>
      </c>
      <c r="AD18" s="33" t="s">
        <v>10</v>
      </c>
    </row>
    <row r="19" ht="12.75">
      <c r="B19" s="33"/>
    </row>
    <row r="20" spans="2:7" ht="12.75">
      <c r="B20" s="33"/>
      <c r="G20" s="33"/>
    </row>
    <row r="21" spans="2:7" ht="12.75">
      <c r="B21" s="33"/>
      <c r="G21" s="33"/>
    </row>
    <row r="22" spans="2:7" ht="12.75">
      <c r="B22" s="33"/>
      <c r="G22" s="33"/>
    </row>
    <row r="23" spans="2:7" ht="12.75">
      <c r="B23" s="33"/>
      <c r="G23" s="33"/>
    </row>
    <row r="24" spans="2:7" ht="12.75">
      <c r="B24" s="33"/>
      <c r="G24" s="33"/>
    </row>
    <row r="25" spans="2:7" ht="12.75">
      <c r="B25" s="33"/>
      <c r="G25" s="33"/>
    </row>
    <row r="26" spans="2:7" ht="12.75">
      <c r="B26" s="33"/>
      <c r="G26" s="33"/>
    </row>
    <row r="27" spans="2:7" ht="12.75">
      <c r="B27" s="33"/>
      <c r="G27" s="33"/>
    </row>
    <row r="28" spans="2:7" ht="12.75">
      <c r="B28" s="33"/>
      <c r="G28" s="33"/>
    </row>
    <row r="29" spans="2:7" ht="12.75">
      <c r="B29" s="33"/>
      <c r="G29" s="33"/>
    </row>
    <row r="30" spans="2:7" ht="12.75">
      <c r="B30" s="33"/>
      <c r="G30" s="33"/>
    </row>
    <row r="31" spans="2:7" ht="12.75">
      <c r="B31" s="33"/>
      <c r="G31" s="33"/>
    </row>
    <row r="32" spans="2:7" ht="12.75">
      <c r="B32" s="33"/>
      <c r="G32" s="33"/>
    </row>
    <row r="33" spans="2:7" ht="12.75">
      <c r="B33" s="33"/>
      <c r="G33" s="33"/>
    </row>
    <row r="34" spans="2:7" ht="12.75">
      <c r="B34" s="33"/>
      <c r="G34" s="33"/>
    </row>
    <row r="35" spans="2:7" ht="12.75">
      <c r="B35" s="33"/>
      <c r="G35" s="33"/>
    </row>
    <row r="36" ht="12.75">
      <c r="B36" s="33"/>
    </row>
    <row r="37" ht="12.75">
      <c r="B37" s="33"/>
    </row>
    <row r="38" ht="12.75">
      <c r="B38" s="33"/>
    </row>
    <row r="39" ht="12.75">
      <c r="B39" s="33"/>
    </row>
    <row r="40" ht="12.75">
      <c r="B40" s="33"/>
    </row>
    <row r="41" ht="12.75">
      <c r="B41" s="33"/>
    </row>
    <row r="42" ht="12.75">
      <c r="B42" s="33"/>
    </row>
    <row r="43" ht="12.75">
      <c r="B43" s="33"/>
    </row>
    <row r="44" ht="12.75">
      <c r="B44" s="33"/>
    </row>
    <row r="45" ht="12.75">
      <c r="B45" s="33"/>
    </row>
    <row r="46" ht="12.75">
      <c r="B46" s="33"/>
    </row>
    <row r="47" ht="12.75">
      <c r="B47" s="33"/>
    </row>
    <row r="48" ht="12.75">
      <c r="B48" s="33"/>
    </row>
    <row r="49" ht="12.75">
      <c r="B49" s="33"/>
    </row>
    <row r="50" ht="12.75">
      <c r="B50" s="33"/>
    </row>
    <row r="51" ht="12.75">
      <c r="B51" s="33"/>
    </row>
    <row r="52" ht="12.75">
      <c r="B52" s="33"/>
    </row>
    <row r="53" ht="12.75">
      <c r="B53" s="33"/>
    </row>
    <row r="54" ht="12.75">
      <c r="B54" s="33"/>
    </row>
    <row r="55" ht="12.75">
      <c r="B55" s="33"/>
    </row>
    <row r="56" ht="12.75">
      <c r="B56" s="33"/>
    </row>
    <row r="57" ht="12.75">
      <c r="B57" s="33"/>
    </row>
    <row r="58" ht="12.75">
      <c r="B58" s="33"/>
    </row>
    <row r="59" ht="12.75">
      <c r="B59" s="33"/>
    </row>
  </sheetData>
  <sheetProtection password="ECEE" sheet="1" objects="1" scenarios="1"/>
  <conditionalFormatting sqref="C3:AC4 C7:AC8 C11:AC12 C15:AC16">
    <cfRule type="expression" priority="1" dxfId="1" stopIfTrue="1">
      <formula>IF($J3=$AA3,1,0)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40"/>
  <sheetViews>
    <sheetView showGridLines="0" workbookViewId="0" topLeftCell="A40">
      <selection activeCell="H53" sqref="H53"/>
    </sheetView>
  </sheetViews>
  <sheetFormatPr defaultColWidth="9.140625" defaultRowHeight="12.75"/>
  <cols>
    <col min="1" max="1" width="4.00390625" style="34" bestFit="1" customWidth="1"/>
    <col min="2" max="2" width="14.7109375" style="34" bestFit="1" customWidth="1"/>
    <col min="3" max="3" width="9.140625" style="42" customWidth="1"/>
    <col min="4" max="4" width="11.8515625" style="34" bestFit="1" customWidth="1"/>
    <col min="5" max="8" width="9.140625" style="34" customWidth="1"/>
    <col min="9" max="9" width="15.57421875" style="34" customWidth="1"/>
    <col min="10" max="10" width="12.28125" style="34" bestFit="1" customWidth="1"/>
    <col min="11" max="16384" width="9.140625" style="34" customWidth="1"/>
  </cols>
  <sheetData>
    <row r="2" spans="1:14" ht="12.75">
      <c r="A2" s="34">
        <v>1</v>
      </c>
      <c r="B2" s="14" t="s">
        <v>420</v>
      </c>
      <c r="C2" s="14">
        <v>1</v>
      </c>
      <c r="D2" s="35">
        <v>0.041666666666666664</v>
      </c>
      <c r="E2" s="36">
        <f>INDEX(B1:C140,SUMIF('Row and Column'!G5:G144,'Euro 2008 Schedule'!I5,'Row and Column'!H5:H144),2)</f>
        <v>0</v>
      </c>
      <c r="F2" s="37">
        <f>INDEX(B1:D140,SUMIF('Row and Column'!G5:G144,'Euro 2008 Schedule'!I5,'Row and Column'!H5:H144),3)</f>
        <v>0</v>
      </c>
      <c r="G2" s="38">
        <v>1</v>
      </c>
      <c r="H2" s="39">
        <v>39606</v>
      </c>
      <c r="I2" s="27">
        <v>39606.75</v>
      </c>
      <c r="J2" s="40">
        <f>IF(E$2&gt;0,I2+F$2,I2-F$2)</f>
        <v>39606.75</v>
      </c>
      <c r="K2" s="27"/>
      <c r="M2" s="14"/>
      <c r="N2" s="35"/>
    </row>
    <row r="3" spans="1:14" ht="12.75">
      <c r="A3" s="34">
        <v>2</v>
      </c>
      <c r="B3" s="14" t="s">
        <v>421</v>
      </c>
      <c r="C3" s="14">
        <v>7.5</v>
      </c>
      <c r="D3" s="35">
        <v>0.3125</v>
      </c>
      <c r="E3" s="36">
        <f>SUMIF('Row and Column'!G5:G144,'Euro 2008 Schedule'!I5,'Row and Column'!H5:H144)</f>
        <v>133</v>
      </c>
      <c r="G3" s="38">
        <v>2</v>
      </c>
      <c r="H3" s="39">
        <v>39606</v>
      </c>
      <c r="I3" s="27">
        <v>39606.864583333336</v>
      </c>
      <c r="J3" s="40">
        <f aca="true" t="shared" si="0" ref="J3:J32">IF(E$2&gt;0,I3+F$2,I3-F$2)</f>
        <v>39606.864583333336</v>
      </c>
      <c r="M3" s="14"/>
      <c r="N3" s="35"/>
    </row>
    <row r="4" spans="1:14" ht="12.75">
      <c r="A4" s="34">
        <v>3</v>
      </c>
      <c r="B4" s="14" t="s">
        <v>422</v>
      </c>
      <c r="C4" s="14">
        <v>1</v>
      </c>
      <c r="D4" s="35">
        <v>0.041666666666666664</v>
      </c>
      <c r="G4" s="38">
        <v>3</v>
      </c>
      <c r="H4" s="39">
        <v>39607</v>
      </c>
      <c r="I4" s="27">
        <v>39607.75</v>
      </c>
      <c r="J4" s="40">
        <f t="shared" si="0"/>
        <v>39607.75</v>
      </c>
      <c r="M4" s="14"/>
      <c r="N4" s="35"/>
    </row>
    <row r="5" spans="1:14" ht="12.75">
      <c r="A5" s="34">
        <v>4</v>
      </c>
      <c r="B5" s="14" t="s">
        <v>423</v>
      </c>
      <c r="C5" s="14">
        <v>-1</v>
      </c>
      <c r="D5" s="35">
        <v>0.041666666666666664</v>
      </c>
      <c r="G5" s="38">
        <v>4</v>
      </c>
      <c r="H5" s="39">
        <v>39607</v>
      </c>
      <c r="I5" s="27">
        <v>39607.864583333336</v>
      </c>
      <c r="J5" s="40">
        <f t="shared" si="0"/>
        <v>39607.864583333336</v>
      </c>
      <c r="M5" s="14"/>
      <c r="N5" s="35"/>
    </row>
    <row r="6" spans="1:14" ht="12.75">
      <c r="A6" s="34">
        <v>5</v>
      </c>
      <c r="B6" s="14" t="s">
        <v>424</v>
      </c>
      <c r="C6" s="14">
        <v>4</v>
      </c>
      <c r="D6" s="35">
        <v>0.16666666666666666</v>
      </c>
      <c r="G6" s="38">
        <v>5</v>
      </c>
      <c r="H6" s="39">
        <v>39608</v>
      </c>
      <c r="I6" s="27">
        <v>39608.75</v>
      </c>
      <c r="J6" s="40">
        <f t="shared" si="0"/>
        <v>39608.75</v>
      </c>
      <c r="M6" s="14"/>
      <c r="N6" s="35"/>
    </row>
    <row r="7" spans="1:14" ht="12.75">
      <c r="A7" s="34">
        <v>6</v>
      </c>
      <c r="B7" s="14" t="s">
        <v>425</v>
      </c>
      <c r="C7" s="14">
        <v>1</v>
      </c>
      <c r="D7" s="35">
        <v>0.041666666666666664</v>
      </c>
      <c r="G7" s="38">
        <v>6</v>
      </c>
      <c r="H7" s="39">
        <v>39608</v>
      </c>
      <c r="I7" s="27">
        <v>39608.864583333336</v>
      </c>
      <c r="J7" s="40">
        <f t="shared" si="0"/>
        <v>39608.864583333336</v>
      </c>
      <c r="M7" s="14"/>
      <c r="N7" s="35"/>
    </row>
    <row r="8" spans="1:14" ht="12.75">
      <c r="A8" s="34">
        <v>7</v>
      </c>
      <c r="B8" s="14" t="s">
        <v>426</v>
      </c>
      <c r="C8" s="14">
        <v>0</v>
      </c>
      <c r="D8" s="35">
        <v>0</v>
      </c>
      <c r="G8" s="38">
        <v>7</v>
      </c>
      <c r="H8" s="39">
        <v>39609</v>
      </c>
      <c r="I8" s="27">
        <v>39609.75</v>
      </c>
      <c r="J8" s="40">
        <f t="shared" si="0"/>
        <v>39609.75</v>
      </c>
      <c r="M8" s="14"/>
      <c r="N8" s="35"/>
    </row>
    <row r="9" spans="1:14" ht="12.75">
      <c r="A9" s="34">
        <v>8</v>
      </c>
      <c r="B9" s="14" t="s">
        <v>427</v>
      </c>
      <c r="C9" s="14">
        <v>11</v>
      </c>
      <c r="D9" s="35">
        <v>0.4583333333333333</v>
      </c>
      <c r="G9" s="38">
        <v>8</v>
      </c>
      <c r="H9" s="39">
        <v>39609</v>
      </c>
      <c r="I9" s="27">
        <v>39609.864583333336</v>
      </c>
      <c r="J9" s="40">
        <f t="shared" si="0"/>
        <v>39609.864583333336</v>
      </c>
      <c r="M9" s="14"/>
      <c r="N9" s="35"/>
    </row>
    <row r="10" spans="1:14" ht="12.75">
      <c r="A10" s="34">
        <v>9</v>
      </c>
      <c r="B10" s="14" t="s">
        <v>428</v>
      </c>
      <c r="C10" s="41">
        <v>-10</v>
      </c>
      <c r="D10" s="35">
        <v>0.4166666666666667</v>
      </c>
      <c r="G10" s="38">
        <v>9</v>
      </c>
      <c r="H10" s="39">
        <v>39610</v>
      </c>
      <c r="I10" s="27">
        <v>39610.75</v>
      </c>
      <c r="J10" s="40">
        <f t="shared" si="0"/>
        <v>39610.75</v>
      </c>
      <c r="M10" s="41"/>
      <c r="N10" s="35"/>
    </row>
    <row r="11" spans="1:14" ht="12.75">
      <c r="A11" s="34">
        <v>10</v>
      </c>
      <c r="B11" s="14" t="s">
        <v>429</v>
      </c>
      <c r="C11" s="14">
        <v>1</v>
      </c>
      <c r="D11" s="35">
        <v>0.041666666666666664</v>
      </c>
      <c r="G11" s="38">
        <v>10</v>
      </c>
      <c r="H11" s="39">
        <v>39610</v>
      </c>
      <c r="I11" s="27">
        <v>39610.864583333336</v>
      </c>
      <c r="J11" s="40">
        <f t="shared" si="0"/>
        <v>39610.864583333336</v>
      </c>
      <c r="M11" s="14"/>
      <c r="N11" s="35"/>
    </row>
    <row r="12" spans="1:14" ht="12.75">
      <c r="A12" s="34">
        <v>11</v>
      </c>
      <c r="B12" s="14" t="s">
        <v>430</v>
      </c>
      <c r="C12" s="14">
        <v>1</v>
      </c>
      <c r="D12" s="35">
        <v>0.041666666666666664</v>
      </c>
      <c r="G12" s="38">
        <v>11</v>
      </c>
      <c r="H12" s="39">
        <v>39611</v>
      </c>
      <c r="I12" s="27">
        <v>39611.75</v>
      </c>
      <c r="J12" s="40">
        <f t="shared" si="0"/>
        <v>39611.75</v>
      </c>
      <c r="M12" s="14"/>
      <c r="N12" s="35"/>
    </row>
    <row r="13" spans="1:14" ht="12.75">
      <c r="A13" s="34">
        <v>12</v>
      </c>
      <c r="B13" s="14" t="s">
        <v>431</v>
      </c>
      <c r="C13" s="14">
        <v>-6</v>
      </c>
      <c r="D13" s="35">
        <v>0.25</v>
      </c>
      <c r="G13" s="38">
        <v>12</v>
      </c>
      <c r="H13" s="39">
        <v>39611</v>
      </c>
      <c r="I13" s="27">
        <v>39611.864583333336</v>
      </c>
      <c r="J13" s="40">
        <f t="shared" si="0"/>
        <v>39611.864583333336</v>
      </c>
      <c r="M13" s="14"/>
      <c r="N13" s="35"/>
    </row>
    <row r="14" spans="1:14" ht="12.75">
      <c r="A14" s="34">
        <v>13</v>
      </c>
      <c r="B14" s="14" t="s">
        <v>432</v>
      </c>
      <c r="C14" s="14">
        <v>1</v>
      </c>
      <c r="D14" s="35">
        <v>0.041666666666666664</v>
      </c>
      <c r="G14" s="38">
        <v>13</v>
      </c>
      <c r="H14" s="39">
        <v>39612</v>
      </c>
      <c r="I14" s="27">
        <v>39612.75</v>
      </c>
      <c r="J14" s="40">
        <f t="shared" si="0"/>
        <v>39612.75</v>
      </c>
      <c r="M14" s="14"/>
      <c r="N14" s="35"/>
    </row>
    <row r="15" spans="1:14" ht="12.75">
      <c r="A15" s="34">
        <v>14</v>
      </c>
      <c r="B15" s="14" t="s">
        <v>433</v>
      </c>
      <c r="C15" s="14">
        <v>-6</v>
      </c>
      <c r="D15" s="35">
        <v>0.25</v>
      </c>
      <c r="G15" s="38">
        <v>14</v>
      </c>
      <c r="H15" s="39">
        <v>39612</v>
      </c>
      <c r="I15" s="27">
        <v>39612.864583333336</v>
      </c>
      <c r="J15" s="40">
        <f t="shared" si="0"/>
        <v>39612.864583333336</v>
      </c>
      <c r="M15" s="14"/>
      <c r="N15" s="35"/>
    </row>
    <row r="16" spans="1:14" ht="12.75">
      <c r="A16" s="34">
        <v>15</v>
      </c>
      <c r="B16" s="14" t="s">
        <v>434</v>
      </c>
      <c r="C16" s="14">
        <v>10</v>
      </c>
      <c r="D16" s="35">
        <v>0.4166666666666667</v>
      </c>
      <c r="G16" s="38">
        <v>15</v>
      </c>
      <c r="H16" s="39">
        <v>39613</v>
      </c>
      <c r="I16" s="27">
        <v>39613.75</v>
      </c>
      <c r="J16" s="40">
        <f t="shared" si="0"/>
        <v>39613.75</v>
      </c>
      <c r="M16" s="14"/>
      <c r="N16" s="35"/>
    </row>
    <row r="17" spans="1:14" ht="12.75">
      <c r="A17" s="34">
        <v>16</v>
      </c>
      <c r="B17" s="14" t="s">
        <v>435</v>
      </c>
      <c r="C17" s="14">
        <v>1</v>
      </c>
      <c r="D17" s="35">
        <v>0.041666666666666664</v>
      </c>
      <c r="G17" s="38">
        <v>16</v>
      </c>
      <c r="H17" s="39">
        <v>39613</v>
      </c>
      <c r="I17" s="27">
        <v>39613.864583333336</v>
      </c>
      <c r="J17" s="40">
        <f t="shared" si="0"/>
        <v>39613.864583333336</v>
      </c>
      <c r="M17" s="14"/>
      <c r="N17" s="35"/>
    </row>
    <row r="18" spans="1:14" ht="12.75">
      <c r="A18" s="34">
        <v>17</v>
      </c>
      <c r="B18" s="14" t="s">
        <v>436</v>
      </c>
      <c r="C18" s="14">
        <v>5</v>
      </c>
      <c r="D18" s="35">
        <v>0.20833333333333334</v>
      </c>
      <c r="G18" s="38">
        <v>17</v>
      </c>
      <c r="H18" s="39">
        <v>39614</v>
      </c>
      <c r="I18" s="27">
        <v>39614.864583333336</v>
      </c>
      <c r="J18" s="40">
        <f t="shared" si="0"/>
        <v>39614.864583333336</v>
      </c>
      <c r="M18" s="14"/>
      <c r="N18" s="35"/>
    </row>
    <row r="19" spans="1:14" ht="12.75">
      <c r="A19" s="34">
        <v>18</v>
      </c>
      <c r="B19" s="14" t="s">
        <v>437</v>
      </c>
      <c r="C19" s="14">
        <v>0</v>
      </c>
      <c r="D19" s="35">
        <v>0</v>
      </c>
      <c r="G19" s="38">
        <v>18</v>
      </c>
      <c r="H19" s="39">
        <v>39614</v>
      </c>
      <c r="I19" s="27">
        <v>39614.864583333336</v>
      </c>
      <c r="J19" s="40">
        <f t="shared" si="0"/>
        <v>39614.864583333336</v>
      </c>
      <c r="M19" s="14"/>
      <c r="N19" s="35"/>
    </row>
    <row r="20" spans="1:14" ht="12.75">
      <c r="A20" s="34">
        <v>19</v>
      </c>
      <c r="B20" s="14" t="s">
        <v>438</v>
      </c>
      <c r="C20" s="14">
        <v>6</v>
      </c>
      <c r="D20" s="35">
        <v>0.25</v>
      </c>
      <c r="G20" s="38">
        <v>19</v>
      </c>
      <c r="H20" s="39">
        <v>39615</v>
      </c>
      <c r="I20" s="27">
        <v>39615.864583333336</v>
      </c>
      <c r="J20" s="40">
        <f t="shared" si="0"/>
        <v>39615.864583333336</v>
      </c>
      <c r="M20" s="14"/>
      <c r="N20" s="35"/>
    </row>
    <row r="21" spans="1:14" ht="12.75">
      <c r="A21" s="34">
        <v>20</v>
      </c>
      <c r="B21" s="14" t="s">
        <v>439</v>
      </c>
      <c r="C21" s="14">
        <v>1</v>
      </c>
      <c r="D21" s="35">
        <v>0.041666666666666664</v>
      </c>
      <c r="G21" s="38">
        <v>20</v>
      </c>
      <c r="H21" s="39">
        <v>39615</v>
      </c>
      <c r="I21" s="27">
        <v>39615.864583333336</v>
      </c>
      <c r="J21" s="40">
        <f t="shared" si="0"/>
        <v>39615.864583333336</v>
      </c>
      <c r="M21" s="14"/>
      <c r="N21" s="35"/>
    </row>
    <row r="22" spans="1:14" ht="12.75">
      <c r="A22" s="34">
        <v>21</v>
      </c>
      <c r="B22" s="14" t="s">
        <v>440</v>
      </c>
      <c r="C22" s="14">
        <v>0</v>
      </c>
      <c r="D22" s="35">
        <v>0</v>
      </c>
      <c r="G22" s="38">
        <v>21</v>
      </c>
      <c r="H22" s="39">
        <v>39616</v>
      </c>
      <c r="I22" s="27">
        <v>39616.864583333336</v>
      </c>
      <c r="J22" s="40">
        <f t="shared" si="0"/>
        <v>39616.864583333336</v>
      </c>
      <c r="M22" s="14"/>
      <c r="N22" s="35"/>
    </row>
    <row r="23" spans="1:14" ht="12.75">
      <c r="A23" s="34">
        <v>22</v>
      </c>
      <c r="B23" s="14" t="s">
        <v>441</v>
      </c>
      <c r="C23" s="14">
        <v>0</v>
      </c>
      <c r="D23" s="35">
        <v>0</v>
      </c>
      <c r="G23" s="38">
        <v>22</v>
      </c>
      <c r="H23" s="39">
        <v>39616</v>
      </c>
      <c r="I23" s="27">
        <v>39616.864583333336</v>
      </c>
      <c r="J23" s="40">
        <f t="shared" si="0"/>
        <v>39616.864583333336</v>
      </c>
      <c r="M23" s="14"/>
      <c r="N23" s="35"/>
    </row>
    <row r="24" spans="1:14" ht="12.75">
      <c r="A24" s="34">
        <v>23</v>
      </c>
      <c r="B24" s="14" t="s">
        <v>442</v>
      </c>
      <c r="C24" s="14">
        <v>-7</v>
      </c>
      <c r="D24" s="35">
        <v>0.2916666666666667</v>
      </c>
      <c r="G24" s="38">
        <v>23</v>
      </c>
      <c r="H24" s="39">
        <v>39617</v>
      </c>
      <c r="I24" s="27">
        <v>39617.864583333336</v>
      </c>
      <c r="J24" s="40">
        <f t="shared" si="0"/>
        <v>39617.864583333336</v>
      </c>
      <c r="M24" s="14"/>
      <c r="N24" s="35"/>
    </row>
    <row r="25" spans="1:14" ht="12.75">
      <c r="A25" s="34">
        <v>24</v>
      </c>
      <c r="B25" s="14" t="s">
        <v>443</v>
      </c>
      <c r="C25" s="14">
        <v>-6</v>
      </c>
      <c r="D25" s="35">
        <v>0.25</v>
      </c>
      <c r="G25" s="38">
        <v>24</v>
      </c>
      <c r="H25" s="39">
        <v>39617</v>
      </c>
      <c r="I25" s="27">
        <v>39617.864583333336</v>
      </c>
      <c r="J25" s="40">
        <f t="shared" si="0"/>
        <v>39617.864583333336</v>
      </c>
      <c r="M25" s="14"/>
      <c r="N25" s="35"/>
    </row>
    <row r="26" spans="1:14" ht="12.75">
      <c r="A26" s="34">
        <v>25</v>
      </c>
      <c r="B26" s="14" t="s">
        <v>444</v>
      </c>
      <c r="C26" s="14">
        <v>-5</v>
      </c>
      <c r="D26" s="35">
        <v>0.20833333333333334</v>
      </c>
      <c r="G26" s="38">
        <v>25</v>
      </c>
      <c r="H26" s="28" t="s">
        <v>409</v>
      </c>
      <c r="I26" s="27">
        <v>39618.864583333336</v>
      </c>
      <c r="J26" s="40">
        <f t="shared" si="0"/>
        <v>39618.864583333336</v>
      </c>
      <c r="M26" s="14"/>
      <c r="N26" s="35"/>
    </row>
    <row r="27" spans="1:14" ht="12.75">
      <c r="A27" s="34">
        <v>26</v>
      </c>
      <c r="B27" s="14" t="s">
        <v>445</v>
      </c>
      <c r="C27" s="14">
        <v>8</v>
      </c>
      <c r="D27" s="35">
        <v>0.3333333333333333</v>
      </c>
      <c r="G27" s="38">
        <v>26</v>
      </c>
      <c r="H27" s="28" t="s">
        <v>410</v>
      </c>
      <c r="I27" s="27">
        <v>39619.864583333336</v>
      </c>
      <c r="J27" s="40">
        <f t="shared" si="0"/>
        <v>39619.864583333336</v>
      </c>
      <c r="M27" s="14"/>
      <c r="N27" s="35"/>
    </row>
    <row r="28" spans="1:14" ht="12.75">
      <c r="A28" s="34">
        <v>27</v>
      </c>
      <c r="B28" s="14" t="s">
        <v>446</v>
      </c>
      <c r="C28" s="14">
        <v>0</v>
      </c>
      <c r="D28" s="35">
        <v>0</v>
      </c>
      <c r="G28" s="38">
        <v>27</v>
      </c>
      <c r="H28" s="28" t="s">
        <v>411</v>
      </c>
      <c r="I28" s="27">
        <v>39620.864583333336</v>
      </c>
      <c r="J28" s="40">
        <f t="shared" si="0"/>
        <v>39620.864583333336</v>
      </c>
      <c r="M28" s="14"/>
      <c r="N28" s="35"/>
    </row>
    <row r="29" spans="1:14" ht="12.75">
      <c r="A29" s="34">
        <v>28</v>
      </c>
      <c r="B29" s="14" t="s">
        <v>447</v>
      </c>
      <c r="C29" s="14">
        <v>1</v>
      </c>
      <c r="D29" s="35">
        <v>0.041666666666666664</v>
      </c>
      <c r="G29" s="38">
        <v>28</v>
      </c>
      <c r="H29" s="28" t="s">
        <v>412</v>
      </c>
      <c r="I29" s="27">
        <v>39621.864583333336</v>
      </c>
      <c r="J29" s="40">
        <f t="shared" si="0"/>
        <v>39621.864583333336</v>
      </c>
      <c r="M29" s="14"/>
      <c r="N29" s="35"/>
    </row>
    <row r="30" spans="1:14" ht="12.75">
      <c r="A30" s="34">
        <v>29</v>
      </c>
      <c r="B30" s="14" t="s">
        <v>448</v>
      </c>
      <c r="C30" s="14">
        <v>0</v>
      </c>
      <c r="D30" s="35">
        <v>0</v>
      </c>
      <c r="G30" s="38">
        <v>29</v>
      </c>
      <c r="H30" s="28" t="s">
        <v>413</v>
      </c>
      <c r="I30" s="27">
        <v>39624.864583333336</v>
      </c>
      <c r="J30" s="40">
        <f t="shared" si="0"/>
        <v>39624.864583333336</v>
      </c>
      <c r="M30" s="14"/>
      <c r="N30" s="35"/>
    </row>
    <row r="31" spans="1:14" ht="12.75">
      <c r="A31" s="34">
        <v>30</v>
      </c>
      <c r="B31" s="14" t="s">
        <v>449</v>
      </c>
      <c r="C31" s="14">
        <v>-5</v>
      </c>
      <c r="D31" s="35">
        <v>0.20833333333333334</v>
      </c>
      <c r="G31" s="38">
        <v>30</v>
      </c>
      <c r="H31" s="28" t="s">
        <v>414</v>
      </c>
      <c r="I31" s="27">
        <v>39625.864583333336</v>
      </c>
      <c r="J31" s="40">
        <f t="shared" si="0"/>
        <v>39625.864583333336</v>
      </c>
      <c r="M31" s="14"/>
      <c r="N31" s="35"/>
    </row>
    <row r="32" spans="1:14" ht="12.75">
      <c r="A32" s="34">
        <v>31</v>
      </c>
      <c r="B32" s="14" t="s">
        <v>450</v>
      </c>
      <c r="C32" s="14">
        <v>0</v>
      </c>
      <c r="D32" s="35">
        <v>0</v>
      </c>
      <c r="G32" s="38">
        <v>31</v>
      </c>
      <c r="H32" s="28" t="s">
        <v>415</v>
      </c>
      <c r="I32" s="27">
        <v>39628.864583333336</v>
      </c>
      <c r="J32" s="40">
        <f t="shared" si="0"/>
        <v>39628.864583333336</v>
      </c>
      <c r="M32" s="14"/>
      <c r="N32" s="35"/>
    </row>
    <row r="33" spans="1:14" ht="12.75">
      <c r="A33" s="34">
        <v>32</v>
      </c>
      <c r="B33" s="14" t="s">
        <v>451</v>
      </c>
      <c r="C33" s="14">
        <v>8</v>
      </c>
      <c r="D33" s="35">
        <v>0.3333333333333333</v>
      </c>
      <c r="M33" s="14"/>
      <c r="N33" s="35"/>
    </row>
    <row r="34" spans="1:14" ht="12.75">
      <c r="A34" s="34">
        <v>33</v>
      </c>
      <c r="B34" s="14" t="s">
        <v>452</v>
      </c>
      <c r="C34" s="14">
        <v>0</v>
      </c>
      <c r="D34" s="35">
        <v>0</v>
      </c>
      <c r="M34" s="14"/>
      <c r="N34" s="35"/>
    </row>
    <row r="35" spans="1:14" ht="12.75">
      <c r="A35" s="34">
        <v>34</v>
      </c>
      <c r="B35" s="14" t="s">
        <v>453</v>
      </c>
      <c r="C35" s="14">
        <v>-6.5</v>
      </c>
      <c r="D35" s="35">
        <v>0.2708333333333333</v>
      </c>
      <c r="M35" s="14"/>
      <c r="N35" s="35"/>
    </row>
    <row r="36" spans="1:14" ht="12.75">
      <c r="A36" s="34">
        <v>35</v>
      </c>
      <c r="B36" s="14" t="s">
        <v>454</v>
      </c>
      <c r="C36" s="14">
        <v>-2</v>
      </c>
      <c r="D36" s="35">
        <v>0.08333333333333333</v>
      </c>
      <c r="M36" s="14"/>
      <c r="N36" s="35"/>
    </row>
    <row r="37" spans="1:14" ht="12.75">
      <c r="A37" s="34">
        <v>36</v>
      </c>
      <c r="B37" s="14" t="s">
        <v>455</v>
      </c>
      <c r="C37" s="14">
        <v>-7</v>
      </c>
      <c r="D37" s="35">
        <v>0.2916666666666667</v>
      </c>
      <c r="M37" s="14"/>
      <c r="N37" s="35"/>
    </row>
    <row r="38" spans="1:14" ht="12.75">
      <c r="A38" s="34">
        <v>37</v>
      </c>
      <c r="B38" s="14" t="s">
        <v>456</v>
      </c>
      <c r="C38" s="14">
        <v>0</v>
      </c>
      <c r="D38" s="35">
        <v>0</v>
      </c>
      <c r="M38" s="14"/>
      <c r="N38" s="35"/>
    </row>
    <row r="39" spans="1:14" ht="12.75">
      <c r="A39" s="34">
        <v>38</v>
      </c>
      <c r="B39" s="14" t="s">
        <v>457</v>
      </c>
      <c r="C39" s="14">
        <v>7.5</v>
      </c>
      <c r="D39" s="35">
        <v>0.3125</v>
      </c>
      <c r="M39" s="14"/>
      <c r="N39" s="35"/>
    </row>
    <row r="40" spans="1:14" ht="12.75">
      <c r="A40" s="34">
        <v>39</v>
      </c>
      <c r="B40" s="14" t="s">
        <v>458</v>
      </c>
      <c r="C40" s="14">
        <v>-8</v>
      </c>
      <c r="D40" s="35">
        <v>0.3333333333333333</v>
      </c>
      <c r="M40" s="14"/>
      <c r="N40" s="35"/>
    </row>
    <row r="41" spans="1:14" ht="12.75">
      <c r="A41" s="34">
        <v>40</v>
      </c>
      <c r="B41" s="14" t="s">
        <v>459</v>
      </c>
      <c r="C41" s="14">
        <v>-6</v>
      </c>
      <c r="D41" s="35">
        <v>0.25</v>
      </c>
      <c r="M41" s="14"/>
      <c r="N41" s="35"/>
    </row>
    <row r="42" spans="1:14" ht="12.75">
      <c r="A42" s="34">
        <v>41</v>
      </c>
      <c r="B42" s="14" t="s">
        <v>460</v>
      </c>
      <c r="C42" s="14">
        <v>4</v>
      </c>
      <c r="D42" s="35">
        <v>0.16666666666666666</v>
      </c>
      <c r="M42" s="14"/>
      <c r="N42" s="35"/>
    </row>
    <row r="43" spans="1:14" ht="12.75">
      <c r="A43" s="34">
        <v>42</v>
      </c>
      <c r="B43" s="14" t="s">
        <v>461</v>
      </c>
      <c r="C43" s="14">
        <v>2</v>
      </c>
      <c r="D43" s="35">
        <v>0.08333333333333333</v>
      </c>
      <c r="M43" s="14"/>
      <c r="N43" s="35"/>
    </row>
    <row r="44" spans="1:14" ht="12.75">
      <c r="A44" s="34">
        <v>43</v>
      </c>
      <c r="B44" s="14" t="s">
        <v>462</v>
      </c>
      <c r="C44" s="14">
        <v>-1</v>
      </c>
      <c r="D44" s="35">
        <v>0.041666666666666664</v>
      </c>
      <c r="M44" s="14"/>
      <c r="N44" s="35"/>
    </row>
    <row r="45" spans="1:14" ht="12.75">
      <c r="A45" s="34">
        <v>44</v>
      </c>
      <c r="B45" s="14" t="s">
        <v>463</v>
      </c>
      <c r="C45" s="14">
        <v>-8</v>
      </c>
      <c r="D45" s="35">
        <v>0.3333333333333333</v>
      </c>
      <c r="M45" s="14"/>
      <c r="N45" s="35"/>
    </row>
    <row r="46" spans="1:14" ht="12.75">
      <c r="A46" s="34">
        <v>45</v>
      </c>
      <c r="B46" s="14" t="s">
        <v>464</v>
      </c>
      <c r="C46" s="14">
        <v>0</v>
      </c>
      <c r="D46" s="35">
        <v>0</v>
      </c>
      <c r="M46" s="14"/>
      <c r="N46" s="35"/>
    </row>
    <row r="47" spans="1:14" ht="12.75">
      <c r="A47" s="34">
        <v>46</v>
      </c>
      <c r="B47" s="14" t="s">
        <v>465</v>
      </c>
      <c r="C47" s="14">
        <v>0</v>
      </c>
      <c r="D47" s="35">
        <v>0</v>
      </c>
      <c r="M47" s="14"/>
      <c r="N47" s="35"/>
    </row>
    <row r="48" spans="1:14" ht="12.75">
      <c r="A48" s="34">
        <v>47</v>
      </c>
      <c r="B48" s="14" t="s">
        <v>466</v>
      </c>
      <c r="C48" s="14">
        <v>-8</v>
      </c>
      <c r="D48" s="35">
        <v>0.3333333333333333</v>
      </c>
      <c r="M48" s="14"/>
      <c r="N48" s="35"/>
    </row>
    <row r="49" spans="1:14" ht="12.75">
      <c r="A49" s="34">
        <v>48</v>
      </c>
      <c r="B49" s="14" t="s">
        <v>467</v>
      </c>
      <c r="C49" s="14">
        <v>-5</v>
      </c>
      <c r="D49" s="35">
        <v>0.20833333333333334</v>
      </c>
      <c r="M49" s="14"/>
      <c r="N49" s="35"/>
    </row>
    <row r="50" spans="1:14" ht="12.75">
      <c r="A50" s="34">
        <v>49</v>
      </c>
      <c r="B50" s="14" t="s">
        <v>468</v>
      </c>
      <c r="C50" s="14">
        <v>5</v>
      </c>
      <c r="D50" s="35">
        <v>0.20833333333333334</v>
      </c>
      <c r="M50" s="14"/>
      <c r="N50" s="35"/>
    </row>
    <row r="51" spans="1:14" ht="12.75">
      <c r="A51" s="34">
        <v>50</v>
      </c>
      <c r="B51" s="14" t="s">
        <v>469</v>
      </c>
      <c r="C51" s="14">
        <v>0</v>
      </c>
      <c r="D51" s="35">
        <v>0</v>
      </c>
      <c r="M51" s="14"/>
      <c r="N51" s="35"/>
    </row>
    <row r="52" spans="1:14" ht="12.75">
      <c r="A52" s="34">
        <v>51</v>
      </c>
      <c r="B52" s="14" t="s">
        <v>470</v>
      </c>
      <c r="C52" s="14">
        <v>-6</v>
      </c>
      <c r="D52" s="35">
        <v>0.25</v>
      </c>
      <c r="M52" s="14"/>
      <c r="N52" s="35"/>
    </row>
    <row r="53" spans="1:14" ht="12.75">
      <c r="A53" s="34">
        <v>52</v>
      </c>
      <c r="B53" s="14" t="s">
        <v>471</v>
      </c>
      <c r="C53" s="14">
        <v>1</v>
      </c>
      <c r="D53" s="35">
        <v>0.041666666666666664</v>
      </c>
      <c r="M53" s="14"/>
      <c r="N53" s="35"/>
    </row>
    <row r="54" spans="1:14" ht="12.75">
      <c r="A54" s="34">
        <v>53</v>
      </c>
      <c r="B54" s="14" t="s">
        <v>472</v>
      </c>
      <c r="C54" s="14">
        <v>6</v>
      </c>
      <c r="D54" s="35">
        <v>0.25</v>
      </c>
      <c r="M54" s="14"/>
      <c r="N54" s="35"/>
    </row>
    <row r="55" spans="1:14" ht="12.75">
      <c r="A55" s="34">
        <v>54</v>
      </c>
      <c r="B55" s="14" t="s">
        <v>473</v>
      </c>
      <c r="C55" s="14">
        <v>-12</v>
      </c>
      <c r="D55" s="35">
        <v>0</v>
      </c>
      <c r="M55" s="14"/>
      <c r="N55" s="35"/>
    </row>
    <row r="56" spans="1:14" ht="12.75">
      <c r="A56" s="34">
        <v>55</v>
      </c>
      <c r="B56" s="14" t="s">
        <v>474</v>
      </c>
      <c r="C56" s="14">
        <v>-7</v>
      </c>
      <c r="D56" s="35">
        <v>0.2916666666666667</v>
      </c>
      <c r="M56" s="14"/>
      <c r="N56" s="35"/>
    </row>
    <row r="57" spans="1:14" ht="12.75">
      <c r="A57" s="34">
        <v>56</v>
      </c>
      <c r="B57" s="14" t="s">
        <v>475</v>
      </c>
      <c r="C57" s="14">
        <v>-6</v>
      </c>
      <c r="D57" s="35">
        <v>0.25</v>
      </c>
      <c r="M57" s="14"/>
      <c r="N57" s="35"/>
    </row>
    <row r="58" spans="1:14" ht="12.75">
      <c r="A58" s="34">
        <v>57</v>
      </c>
      <c r="B58" s="14" t="s">
        <v>476</v>
      </c>
      <c r="C58" s="14">
        <v>3</v>
      </c>
      <c r="D58" s="35">
        <v>0.125</v>
      </c>
      <c r="M58" s="14"/>
      <c r="N58" s="35"/>
    </row>
    <row r="59" spans="1:14" ht="12.75">
      <c r="A59" s="34">
        <v>58</v>
      </c>
      <c r="B59" s="14" t="s">
        <v>477</v>
      </c>
      <c r="C59" s="14">
        <v>1</v>
      </c>
      <c r="D59" s="35">
        <v>0.041666666666666664</v>
      </c>
      <c r="M59" s="14"/>
      <c r="N59" s="35"/>
    </row>
    <row r="60" spans="1:14" ht="12.75">
      <c r="A60" s="34">
        <v>59</v>
      </c>
      <c r="B60" s="14" t="s">
        <v>478</v>
      </c>
      <c r="C60" s="14">
        <v>6</v>
      </c>
      <c r="D60" s="35">
        <v>0.25</v>
      </c>
      <c r="M60" s="14"/>
      <c r="N60" s="35"/>
    </row>
    <row r="61" spans="1:14" ht="12.75">
      <c r="A61" s="34">
        <v>60</v>
      </c>
      <c r="B61" s="14" t="s">
        <v>479</v>
      </c>
      <c r="C61" s="14">
        <v>1</v>
      </c>
      <c r="D61" s="35">
        <v>0.041666666666666664</v>
      </c>
      <c r="M61" s="14"/>
      <c r="N61" s="35"/>
    </row>
    <row r="62" spans="1:14" ht="12.75">
      <c r="A62" s="34">
        <v>61</v>
      </c>
      <c r="B62" s="14" t="s">
        <v>480</v>
      </c>
      <c r="C62" s="14">
        <v>0</v>
      </c>
      <c r="D62" s="35">
        <v>0</v>
      </c>
      <c r="M62" s="14"/>
      <c r="N62" s="35"/>
    </row>
    <row r="63" spans="1:14" ht="12.75">
      <c r="A63" s="34">
        <v>62</v>
      </c>
      <c r="B63" s="14" t="s">
        <v>481</v>
      </c>
      <c r="C63" s="14">
        <v>2.5</v>
      </c>
      <c r="D63" s="35">
        <v>0.10416666666666667</v>
      </c>
      <c r="M63" s="14"/>
      <c r="N63" s="35"/>
    </row>
    <row r="64" spans="1:14" ht="12.75">
      <c r="A64" s="34">
        <v>63</v>
      </c>
      <c r="B64" s="14" t="s">
        <v>482</v>
      </c>
      <c r="C64" s="14">
        <v>11</v>
      </c>
      <c r="D64" s="35">
        <v>0.4583333333333333</v>
      </c>
      <c r="M64" s="14"/>
      <c r="N64" s="35"/>
    </row>
    <row r="65" spans="1:14" ht="12.75">
      <c r="A65" s="34">
        <v>64</v>
      </c>
      <c r="B65" s="14" t="s">
        <v>483</v>
      </c>
      <c r="C65" s="14">
        <v>3</v>
      </c>
      <c r="D65" s="35">
        <v>0.125</v>
      </c>
      <c r="M65" s="14"/>
      <c r="N65" s="35"/>
    </row>
    <row r="66" spans="1:14" ht="12.75">
      <c r="A66" s="34">
        <v>65</v>
      </c>
      <c r="B66" s="14" t="s">
        <v>484</v>
      </c>
      <c r="C66" s="14">
        <v>1</v>
      </c>
      <c r="D66" s="35">
        <v>0.041666666666666664</v>
      </c>
      <c r="M66" s="14"/>
      <c r="N66" s="35"/>
    </row>
    <row r="67" spans="1:14" ht="12.75">
      <c r="A67" s="34">
        <v>66</v>
      </c>
      <c r="B67" s="14" t="s">
        <v>485</v>
      </c>
      <c r="C67" s="14">
        <v>-7</v>
      </c>
      <c r="D67" s="35">
        <v>0.2916666666666667</v>
      </c>
      <c r="M67" s="14"/>
      <c r="N67" s="35"/>
    </row>
    <row r="68" spans="1:14" ht="12.75">
      <c r="A68" s="34">
        <v>67</v>
      </c>
      <c r="B68" s="14" t="s">
        <v>486</v>
      </c>
      <c r="C68" s="41">
        <v>12</v>
      </c>
      <c r="D68" s="35">
        <v>0</v>
      </c>
      <c r="M68" s="41"/>
      <c r="N68" s="35"/>
    </row>
    <row r="69" spans="1:14" ht="12.75">
      <c r="A69" s="34">
        <v>68</v>
      </c>
      <c r="B69" s="14" t="s">
        <v>487</v>
      </c>
      <c r="C69" s="14">
        <v>3.5</v>
      </c>
      <c r="D69" s="35">
        <v>0.15972222222222224</v>
      </c>
      <c r="M69" s="14"/>
      <c r="N69" s="35"/>
    </row>
    <row r="70" spans="1:14" ht="12.75">
      <c r="A70" s="34">
        <v>69</v>
      </c>
      <c r="B70" s="14" t="s">
        <v>488</v>
      </c>
      <c r="C70" s="14">
        <v>6</v>
      </c>
      <c r="D70" s="35">
        <v>0.25</v>
      </c>
      <c r="M70" s="14"/>
      <c r="N70" s="35"/>
    </row>
    <row r="71" spans="1:14" ht="12.75">
      <c r="A71" s="34">
        <v>70</v>
      </c>
      <c r="B71" s="14" t="s">
        <v>489</v>
      </c>
      <c r="C71" s="14">
        <v>1</v>
      </c>
      <c r="D71" s="35">
        <v>0.041666666666666664</v>
      </c>
      <c r="M71" s="14"/>
      <c r="N71" s="35"/>
    </row>
    <row r="72" spans="1:14" ht="12.75">
      <c r="A72" s="34">
        <v>71</v>
      </c>
      <c r="B72" s="14" t="s">
        <v>490</v>
      </c>
      <c r="C72" s="14">
        <v>1</v>
      </c>
      <c r="D72" s="35">
        <v>0.041666666666666664</v>
      </c>
      <c r="M72" s="14"/>
      <c r="N72" s="35"/>
    </row>
    <row r="73" spans="1:14" ht="12.75">
      <c r="A73" s="34">
        <v>72</v>
      </c>
      <c r="B73" s="14" t="s">
        <v>491</v>
      </c>
      <c r="C73" s="14">
        <v>-6</v>
      </c>
      <c r="D73" s="35">
        <v>0.25</v>
      </c>
      <c r="M73" s="14"/>
      <c r="N73" s="35"/>
    </row>
    <row r="74" spans="1:14" ht="12.75">
      <c r="A74" s="34">
        <v>73</v>
      </c>
      <c r="B74" s="14" t="s">
        <v>492</v>
      </c>
      <c r="C74" s="14">
        <v>-1</v>
      </c>
      <c r="D74" s="35">
        <v>0.041666666666666664</v>
      </c>
      <c r="M74" s="14"/>
      <c r="N74" s="35"/>
    </row>
    <row r="75" spans="1:14" ht="12.75">
      <c r="A75" s="34">
        <v>74</v>
      </c>
      <c r="B75" s="14" t="s">
        <v>493</v>
      </c>
      <c r="C75" s="14">
        <v>3</v>
      </c>
      <c r="D75" s="35">
        <v>0.125</v>
      </c>
      <c r="M75" s="14"/>
      <c r="N75" s="35"/>
    </row>
    <row r="76" spans="1:14" ht="12.75">
      <c r="A76" s="34">
        <v>75</v>
      </c>
      <c r="B76" s="14" t="s">
        <v>494</v>
      </c>
      <c r="C76" s="14">
        <v>-7</v>
      </c>
      <c r="D76" s="35">
        <v>0.2916666666666667</v>
      </c>
      <c r="M76" s="14"/>
      <c r="N76" s="35"/>
    </row>
    <row r="77" spans="1:14" ht="12.75">
      <c r="A77" s="34">
        <v>76</v>
      </c>
      <c r="B77" s="14" t="s">
        <v>495</v>
      </c>
      <c r="C77" s="14">
        <v>-1</v>
      </c>
      <c r="D77" s="35">
        <v>0.041666666666666664</v>
      </c>
      <c r="M77" s="14"/>
      <c r="N77" s="35"/>
    </row>
    <row r="78" spans="1:14" ht="12.75">
      <c r="A78" s="34">
        <v>77</v>
      </c>
      <c r="B78" s="14" t="s">
        <v>496</v>
      </c>
      <c r="C78" s="14">
        <v>-1</v>
      </c>
      <c r="D78" s="35">
        <v>0.041666666666666664</v>
      </c>
      <c r="M78" s="14"/>
      <c r="N78" s="35"/>
    </row>
    <row r="79" spans="1:14" ht="12.75">
      <c r="A79" s="34">
        <v>78</v>
      </c>
      <c r="B79" s="14" t="s">
        <v>497</v>
      </c>
      <c r="C79" s="14">
        <v>-9</v>
      </c>
      <c r="D79" s="35">
        <v>0.375</v>
      </c>
      <c r="M79" s="14"/>
      <c r="N79" s="35"/>
    </row>
    <row r="80" spans="1:14" ht="12.75">
      <c r="A80" s="34">
        <v>79</v>
      </c>
      <c r="B80" s="14" t="s">
        <v>498</v>
      </c>
      <c r="C80" s="14">
        <v>0</v>
      </c>
      <c r="D80" s="35">
        <v>0</v>
      </c>
      <c r="M80" s="14"/>
      <c r="N80" s="35"/>
    </row>
    <row r="81" spans="1:14" ht="12.75">
      <c r="A81" s="34">
        <v>80</v>
      </c>
      <c r="B81" s="14" t="s">
        <v>499</v>
      </c>
      <c r="C81" s="14">
        <v>-8</v>
      </c>
      <c r="D81" s="35">
        <v>0.3333333333333333</v>
      </c>
      <c r="M81" s="14"/>
      <c r="N81" s="35"/>
    </row>
    <row r="82" spans="1:14" ht="12.75">
      <c r="A82" s="34">
        <v>81</v>
      </c>
      <c r="B82" s="14" t="s">
        <v>500</v>
      </c>
      <c r="C82" s="14">
        <v>6</v>
      </c>
      <c r="D82" s="35">
        <v>0.25</v>
      </c>
      <c r="M82" s="14"/>
      <c r="N82" s="35"/>
    </row>
    <row r="83" spans="1:14" ht="12.75">
      <c r="A83" s="34">
        <v>82</v>
      </c>
      <c r="B83" s="14" t="s">
        <v>501</v>
      </c>
      <c r="C83" s="14">
        <v>8</v>
      </c>
      <c r="D83" s="35">
        <v>0.3333333333333333</v>
      </c>
      <c r="M83" s="14"/>
      <c r="N83" s="35"/>
    </row>
    <row r="84" spans="1:14" ht="12.75">
      <c r="A84" s="34">
        <v>83</v>
      </c>
      <c r="B84" s="14" t="s">
        <v>502</v>
      </c>
      <c r="C84" s="14">
        <v>-7</v>
      </c>
      <c r="D84" s="35">
        <v>0.2916666666666667</v>
      </c>
      <c r="M84" s="14"/>
      <c r="N84" s="35"/>
    </row>
    <row r="85" spans="1:14" ht="12.75">
      <c r="A85" s="34">
        <v>84</v>
      </c>
      <c r="B85" s="14" t="s">
        <v>503</v>
      </c>
      <c r="C85" s="14">
        <v>-6</v>
      </c>
      <c r="D85" s="35">
        <v>0.25</v>
      </c>
      <c r="M85" s="14"/>
      <c r="N85" s="35"/>
    </row>
    <row r="86" spans="1:14" ht="12.75">
      <c r="A86" s="34">
        <v>85</v>
      </c>
      <c r="B86" s="14" t="s">
        <v>504</v>
      </c>
      <c r="C86" s="14">
        <v>-7</v>
      </c>
      <c r="D86" s="35">
        <v>0.2916666666666667</v>
      </c>
      <c r="M86" s="14"/>
      <c r="N86" s="35"/>
    </row>
    <row r="87" spans="1:14" ht="12.75">
      <c r="A87" s="34">
        <v>86</v>
      </c>
      <c r="B87" s="14" t="s">
        <v>505</v>
      </c>
      <c r="C87" s="14">
        <v>1</v>
      </c>
      <c r="D87" s="35">
        <v>0.041666666666666664</v>
      </c>
      <c r="M87" s="14"/>
      <c r="N87" s="35"/>
    </row>
    <row r="88" spans="1:14" ht="12.75">
      <c r="A88" s="34">
        <v>87</v>
      </c>
      <c r="B88" s="14" t="s">
        <v>506</v>
      </c>
      <c r="C88" s="14">
        <v>-5</v>
      </c>
      <c r="D88" s="35">
        <v>0.20833333333333334</v>
      </c>
      <c r="M88" s="14"/>
      <c r="N88" s="35"/>
    </row>
    <row r="89" spans="1:14" ht="12.75">
      <c r="A89" s="34">
        <v>88</v>
      </c>
      <c r="B89" s="14" t="s">
        <v>507</v>
      </c>
      <c r="C89" s="14">
        <v>-7</v>
      </c>
      <c r="D89" s="35">
        <v>0.2916666666666667</v>
      </c>
      <c r="M89" s="14"/>
      <c r="N89" s="35"/>
    </row>
    <row r="90" spans="1:14" ht="12.75">
      <c r="A90" s="34">
        <v>89</v>
      </c>
      <c r="B90" s="14" t="s">
        <v>508</v>
      </c>
      <c r="C90" s="14">
        <v>-6</v>
      </c>
      <c r="D90" s="35">
        <v>0.25</v>
      </c>
      <c r="M90" s="14"/>
      <c r="N90" s="35"/>
    </row>
    <row r="91" spans="1:14" ht="12.75">
      <c r="A91" s="34">
        <v>90</v>
      </c>
      <c r="B91" s="14" t="s">
        <v>509</v>
      </c>
      <c r="C91" s="14">
        <v>2</v>
      </c>
      <c r="D91" s="35">
        <v>0.08333333333333333</v>
      </c>
      <c r="M91" s="14"/>
      <c r="N91" s="35"/>
    </row>
    <row r="92" spans="1:14" ht="12.75">
      <c r="A92" s="34">
        <v>91</v>
      </c>
      <c r="B92" s="14" t="s">
        <v>510</v>
      </c>
      <c r="C92" s="14">
        <v>3.5</v>
      </c>
      <c r="D92" s="35">
        <v>0.15972222222222224</v>
      </c>
      <c r="M92" s="14"/>
      <c r="N92" s="35"/>
    </row>
    <row r="93" spans="1:14" ht="12.75">
      <c r="A93" s="34">
        <v>92</v>
      </c>
      <c r="B93" s="14" t="s">
        <v>511</v>
      </c>
      <c r="C93" s="14">
        <v>1</v>
      </c>
      <c r="D93" s="35">
        <v>0.041666666666666664</v>
      </c>
      <c r="M93" s="14"/>
      <c r="N93" s="35"/>
    </row>
    <row r="94" spans="1:14" ht="12.75">
      <c r="A94" s="34">
        <v>93</v>
      </c>
      <c r="B94" s="14" t="s">
        <v>512</v>
      </c>
      <c r="C94" s="14">
        <v>-6</v>
      </c>
      <c r="D94" s="35">
        <v>0.25</v>
      </c>
      <c r="M94" s="14"/>
      <c r="N94" s="35"/>
    </row>
    <row r="95" spans="1:14" ht="12.75">
      <c r="A95" s="34">
        <v>94</v>
      </c>
      <c r="B95" s="14" t="s">
        <v>513</v>
      </c>
      <c r="C95" s="14">
        <v>3.5</v>
      </c>
      <c r="D95" s="35">
        <v>0.15972222222222224</v>
      </c>
      <c r="M95" s="14"/>
      <c r="N95" s="35"/>
    </row>
    <row r="96" spans="1:14" ht="12.75">
      <c r="A96" s="34">
        <v>95</v>
      </c>
      <c r="B96" s="14" t="s">
        <v>514</v>
      </c>
      <c r="C96" s="14">
        <v>-7</v>
      </c>
      <c r="D96" s="35">
        <v>0.2916666666666667</v>
      </c>
      <c r="M96" s="14"/>
      <c r="N96" s="35"/>
    </row>
    <row r="97" spans="1:14" ht="12.75">
      <c r="A97" s="34">
        <v>96</v>
      </c>
      <c r="B97" s="14" t="s">
        <v>515</v>
      </c>
      <c r="C97" s="14">
        <v>-6</v>
      </c>
      <c r="D97" s="35">
        <v>0.25</v>
      </c>
      <c r="M97" s="14"/>
      <c r="N97" s="35"/>
    </row>
    <row r="98" spans="1:14" ht="12.75">
      <c r="A98" s="34">
        <v>97</v>
      </c>
      <c r="B98" s="14" t="s">
        <v>516</v>
      </c>
      <c r="C98" s="14">
        <v>0</v>
      </c>
      <c r="D98" s="35">
        <v>0</v>
      </c>
      <c r="M98" s="14"/>
      <c r="N98" s="35"/>
    </row>
    <row r="99" spans="1:14" ht="12.75">
      <c r="A99" s="34">
        <v>98</v>
      </c>
      <c r="B99" s="14" t="s">
        <v>517</v>
      </c>
      <c r="C99" s="14">
        <v>-6</v>
      </c>
      <c r="D99" s="35">
        <v>0.25</v>
      </c>
      <c r="M99" s="14"/>
      <c r="N99" s="35"/>
    </row>
    <row r="100" spans="1:14" ht="12.75">
      <c r="A100" s="34">
        <v>99</v>
      </c>
      <c r="B100" s="14" t="s">
        <v>518</v>
      </c>
      <c r="C100" s="14">
        <v>0</v>
      </c>
      <c r="D100" s="35">
        <v>0</v>
      </c>
      <c r="M100" s="14"/>
      <c r="N100" s="35"/>
    </row>
    <row r="101" spans="1:14" ht="12.75">
      <c r="A101" s="34">
        <v>100</v>
      </c>
      <c r="B101" s="14" t="s">
        <v>519</v>
      </c>
      <c r="C101" s="14">
        <v>6</v>
      </c>
      <c r="D101" s="35">
        <v>0.25</v>
      </c>
      <c r="M101" s="14"/>
      <c r="N101" s="35"/>
    </row>
    <row r="102" spans="1:14" ht="12.75">
      <c r="A102" s="34">
        <v>101</v>
      </c>
      <c r="B102" s="14" t="s">
        <v>520</v>
      </c>
      <c r="C102" s="14">
        <v>-6</v>
      </c>
      <c r="D102" s="35">
        <v>0.25</v>
      </c>
      <c r="M102" s="14"/>
      <c r="N102" s="35"/>
    </row>
    <row r="103" spans="1:14" ht="12.75">
      <c r="A103" s="34">
        <v>102</v>
      </c>
      <c r="B103" s="14" t="s">
        <v>521</v>
      </c>
      <c r="C103" s="14">
        <v>-9</v>
      </c>
      <c r="D103" s="35">
        <v>0.375</v>
      </c>
      <c r="M103" s="14"/>
      <c r="N103" s="35"/>
    </row>
    <row r="104" spans="1:14" ht="12.75">
      <c r="A104" s="34">
        <v>103</v>
      </c>
      <c r="B104" s="14" t="s">
        <v>522</v>
      </c>
      <c r="C104" s="14">
        <v>0</v>
      </c>
      <c r="D104" s="35">
        <v>0</v>
      </c>
      <c r="M104" s="14"/>
      <c r="N104" s="35"/>
    </row>
    <row r="105" spans="1:14" ht="12.75">
      <c r="A105" s="34">
        <v>104</v>
      </c>
      <c r="B105" s="14" t="s">
        <v>523</v>
      </c>
      <c r="C105" s="14">
        <v>-2</v>
      </c>
      <c r="D105" s="35">
        <v>0.08333333333333333</v>
      </c>
      <c r="M105" s="14"/>
      <c r="N105" s="35"/>
    </row>
    <row r="106" spans="1:14" ht="12.75">
      <c r="A106" s="34">
        <v>105</v>
      </c>
      <c r="B106" s="14" t="s">
        <v>524</v>
      </c>
      <c r="C106" s="14">
        <v>-5</v>
      </c>
      <c r="D106" s="35">
        <v>0.20833333333333334</v>
      </c>
      <c r="M106" s="14"/>
      <c r="N106" s="35"/>
    </row>
    <row r="107" spans="1:14" ht="12.75">
      <c r="A107" s="34">
        <v>106</v>
      </c>
      <c r="B107" s="14" t="s">
        <v>525</v>
      </c>
      <c r="C107" s="14">
        <v>1</v>
      </c>
      <c r="D107" s="35">
        <v>0.041666666666666664</v>
      </c>
      <c r="M107" s="14"/>
      <c r="N107" s="35"/>
    </row>
    <row r="108" spans="1:14" ht="12.75">
      <c r="A108" s="34">
        <v>107</v>
      </c>
      <c r="B108" s="14" t="s">
        <v>526</v>
      </c>
      <c r="C108" s="14">
        <v>0</v>
      </c>
      <c r="D108" s="35">
        <v>0</v>
      </c>
      <c r="M108" s="14"/>
      <c r="N108" s="35"/>
    </row>
    <row r="109" spans="1:14" ht="12.75">
      <c r="A109" s="34">
        <v>108</v>
      </c>
      <c r="B109" s="14" t="s">
        <v>527</v>
      </c>
      <c r="C109" s="14">
        <v>-9</v>
      </c>
      <c r="D109" s="35">
        <v>0.375</v>
      </c>
      <c r="M109" s="14"/>
      <c r="N109" s="35"/>
    </row>
    <row r="110" spans="1:14" ht="12.75">
      <c r="A110" s="34">
        <v>109</v>
      </c>
      <c r="B110" s="14" t="s">
        <v>528</v>
      </c>
      <c r="C110" s="14">
        <v>-6</v>
      </c>
      <c r="D110" s="35">
        <v>0.25</v>
      </c>
      <c r="M110" s="14"/>
      <c r="N110" s="35"/>
    </row>
    <row r="111" spans="1:14" ht="12.75">
      <c r="A111" s="34">
        <v>110</v>
      </c>
      <c r="B111" s="14" t="s">
        <v>529</v>
      </c>
      <c r="C111" s="14">
        <v>-8</v>
      </c>
      <c r="D111" s="35">
        <v>0.3333333333333333</v>
      </c>
      <c r="M111" s="14"/>
      <c r="N111" s="35"/>
    </row>
    <row r="112" spans="1:14" ht="12.75">
      <c r="A112" s="34">
        <v>111</v>
      </c>
      <c r="B112" s="14" t="s">
        <v>530</v>
      </c>
      <c r="C112" s="14">
        <v>-6</v>
      </c>
      <c r="D112" s="35">
        <v>0.25</v>
      </c>
      <c r="M112" s="14"/>
      <c r="N112" s="35"/>
    </row>
    <row r="113" spans="1:14" ht="12.75">
      <c r="A113" s="34">
        <v>112</v>
      </c>
      <c r="B113" s="14" t="s">
        <v>531</v>
      </c>
      <c r="C113" s="14">
        <v>-6</v>
      </c>
      <c r="D113" s="35">
        <v>0.25</v>
      </c>
      <c r="M113" s="14"/>
      <c r="N113" s="35"/>
    </row>
    <row r="114" spans="1:14" ht="12.75">
      <c r="A114" s="34">
        <v>113</v>
      </c>
      <c r="B114" s="14" t="s">
        <v>532</v>
      </c>
      <c r="C114" s="14">
        <v>-5</v>
      </c>
      <c r="D114" s="35">
        <v>0.20833333333333334</v>
      </c>
      <c r="M114" s="14"/>
      <c r="N114" s="35"/>
    </row>
    <row r="115" spans="1:14" ht="12.75">
      <c r="A115" s="34">
        <v>114</v>
      </c>
      <c r="B115" s="14" t="s">
        <v>533</v>
      </c>
      <c r="C115" s="14">
        <v>-9</v>
      </c>
      <c r="D115" s="35">
        <v>0.375</v>
      </c>
      <c r="M115" s="14"/>
      <c r="N115" s="35"/>
    </row>
    <row r="116" spans="1:14" ht="12.75">
      <c r="A116" s="34">
        <v>115</v>
      </c>
      <c r="B116" s="14" t="s">
        <v>534</v>
      </c>
      <c r="C116" s="14">
        <v>7</v>
      </c>
      <c r="D116" s="35">
        <v>0.2916666666666667</v>
      </c>
      <c r="M116" s="14"/>
      <c r="N116" s="35"/>
    </row>
    <row r="117" spans="1:14" ht="12.75">
      <c r="A117" s="34">
        <v>116</v>
      </c>
      <c r="B117" s="14" t="s">
        <v>535</v>
      </c>
      <c r="C117" s="14">
        <v>6</v>
      </c>
      <c r="D117" s="35">
        <v>0.25</v>
      </c>
      <c r="M117" s="14"/>
      <c r="N117" s="35"/>
    </row>
    <row r="118" spans="1:14" ht="12.75">
      <c r="A118" s="34">
        <v>117</v>
      </c>
      <c r="B118" s="14" t="s">
        <v>536</v>
      </c>
      <c r="C118" s="14">
        <v>6</v>
      </c>
      <c r="D118" s="35">
        <v>0.25</v>
      </c>
      <c r="M118" s="14"/>
      <c r="N118" s="35"/>
    </row>
    <row r="119" spans="1:14" ht="12.75">
      <c r="A119" s="34">
        <v>118</v>
      </c>
      <c r="B119" s="14" t="s">
        <v>537</v>
      </c>
      <c r="C119" s="14">
        <v>1</v>
      </c>
      <c r="D119" s="35">
        <v>0.041666666666666664</v>
      </c>
      <c r="M119" s="14"/>
      <c r="N119" s="35"/>
    </row>
    <row r="120" spans="1:14" ht="12.75">
      <c r="A120" s="34">
        <v>119</v>
      </c>
      <c r="B120" s="14" t="s">
        <v>538</v>
      </c>
      <c r="C120" s="14">
        <v>-4</v>
      </c>
      <c r="D120" s="35">
        <v>0.16666666666666666</v>
      </c>
      <c r="M120" s="14"/>
      <c r="N120" s="35"/>
    </row>
    <row r="121" spans="1:14" ht="12.75">
      <c r="A121" s="34">
        <v>120</v>
      </c>
      <c r="B121" s="14" t="s">
        <v>539</v>
      </c>
      <c r="C121" s="14">
        <v>-7</v>
      </c>
      <c r="D121" s="35">
        <v>0.2916666666666667</v>
      </c>
      <c r="M121" s="14"/>
      <c r="N121" s="35"/>
    </row>
    <row r="122" spans="1:14" ht="12.75">
      <c r="A122" s="34">
        <v>121</v>
      </c>
      <c r="B122" s="14" t="s">
        <v>540</v>
      </c>
      <c r="C122" s="14">
        <v>0</v>
      </c>
      <c r="D122" s="35">
        <v>0</v>
      </c>
      <c r="M122" s="14"/>
      <c r="N122" s="35"/>
    </row>
    <row r="123" spans="1:14" ht="12.75">
      <c r="A123" s="34">
        <v>122</v>
      </c>
      <c r="B123" s="14" t="s">
        <v>541</v>
      </c>
      <c r="C123" s="14">
        <v>10</v>
      </c>
      <c r="D123" s="35">
        <v>0.4166666666666667</v>
      </c>
      <c r="M123" s="14"/>
      <c r="N123" s="35"/>
    </row>
    <row r="124" spans="1:14" ht="12.75">
      <c r="A124" s="34">
        <v>123</v>
      </c>
      <c r="B124" s="14" t="s">
        <v>542</v>
      </c>
      <c r="C124" s="14">
        <v>8</v>
      </c>
      <c r="D124" s="35">
        <v>0.3333333333333333</v>
      </c>
      <c r="M124" s="14"/>
      <c r="N124" s="35"/>
    </row>
    <row r="125" spans="1:14" ht="12.75">
      <c r="A125" s="34">
        <v>124</v>
      </c>
      <c r="B125" s="14" t="s">
        <v>543</v>
      </c>
      <c r="C125" s="14">
        <v>6</v>
      </c>
      <c r="D125" s="35">
        <v>0.25</v>
      </c>
      <c r="M125" s="14"/>
      <c r="N125" s="35"/>
    </row>
    <row r="126" spans="1:14" ht="12.75">
      <c r="A126" s="34">
        <v>125</v>
      </c>
      <c r="B126" s="14" t="s">
        <v>544</v>
      </c>
      <c r="C126" s="14">
        <v>1</v>
      </c>
      <c r="D126" s="35">
        <v>0.041666666666666664</v>
      </c>
      <c r="M126" s="14"/>
      <c r="N126" s="35"/>
    </row>
    <row r="127" spans="1:14" ht="12.75">
      <c r="A127" s="34">
        <v>126</v>
      </c>
      <c r="B127" s="14" t="s">
        <v>545</v>
      </c>
      <c r="C127" s="14">
        <v>3</v>
      </c>
      <c r="D127" s="35">
        <v>0.125</v>
      </c>
      <c r="M127" s="14"/>
      <c r="N127" s="35"/>
    </row>
    <row r="128" spans="1:14" ht="12.75">
      <c r="A128" s="34">
        <v>127</v>
      </c>
      <c r="B128" s="14" t="s">
        <v>546</v>
      </c>
      <c r="C128" s="14">
        <v>-8</v>
      </c>
      <c r="D128" s="35">
        <v>0.3333333333333333</v>
      </c>
      <c r="M128" s="14"/>
      <c r="N128" s="35"/>
    </row>
    <row r="129" spans="1:14" ht="12.75">
      <c r="A129" s="34">
        <v>128</v>
      </c>
      <c r="B129" s="14" t="s">
        <v>547</v>
      </c>
      <c r="C129" s="14">
        <v>2.5</v>
      </c>
      <c r="D129" s="35">
        <v>0.10416666666666667</v>
      </c>
      <c r="M129" s="14"/>
      <c r="N129" s="35"/>
    </row>
    <row r="130" spans="1:14" ht="12.75">
      <c r="A130" s="34">
        <v>129</v>
      </c>
      <c r="B130" s="14" t="s">
        <v>548</v>
      </c>
      <c r="C130" s="14">
        <v>7</v>
      </c>
      <c r="D130" s="35">
        <v>0.2916666666666667</v>
      </c>
      <c r="M130" s="14"/>
      <c r="N130" s="35"/>
    </row>
    <row r="131" spans="1:14" ht="12.75">
      <c r="A131" s="34">
        <v>130</v>
      </c>
      <c r="B131" s="14" t="s">
        <v>549</v>
      </c>
      <c r="C131" s="14">
        <v>-6</v>
      </c>
      <c r="D131" s="35">
        <v>0.25</v>
      </c>
      <c r="M131" s="14"/>
      <c r="N131" s="35"/>
    </row>
    <row r="132" spans="1:14" ht="12.75">
      <c r="A132" s="34">
        <v>131</v>
      </c>
      <c r="B132" s="14" t="s">
        <v>550</v>
      </c>
      <c r="C132" s="14">
        <v>-9</v>
      </c>
      <c r="D132" s="35">
        <v>0.375</v>
      </c>
      <c r="M132" s="14"/>
      <c r="N132" s="35"/>
    </row>
    <row r="133" spans="1:14" ht="12.75">
      <c r="A133" s="34">
        <v>132</v>
      </c>
      <c r="B133" s="14" t="s">
        <v>551</v>
      </c>
      <c r="C133" s="14">
        <v>0</v>
      </c>
      <c r="D133" s="35">
        <v>0</v>
      </c>
      <c r="M133" s="14"/>
      <c r="N133" s="35"/>
    </row>
    <row r="134" spans="1:14" ht="12.75">
      <c r="A134" s="34">
        <v>133</v>
      </c>
      <c r="B134" s="14" t="s">
        <v>552</v>
      </c>
      <c r="C134" s="14">
        <v>9</v>
      </c>
      <c r="D134" s="35">
        <v>0.375</v>
      </c>
      <c r="M134" s="14"/>
      <c r="N134" s="35"/>
    </row>
    <row r="135" spans="1:14" ht="12.75">
      <c r="A135" s="34">
        <v>134</v>
      </c>
      <c r="B135" s="14" t="s">
        <v>553</v>
      </c>
      <c r="C135" s="14">
        <v>0</v>
      </c>
      <c r="D135" s="35">
        <v>0</v>
      </c>
      <c r="M135" s="14"/>
      <c r="N135" s="35"/>
    </row>
    <row r="136" spans="1:14" ht="12.75">
      <c r="A136" s="34">
        <v>135</v>
      </c>
      <c r="B136" s="14" t="s">
        <v>554</v>
      </c>
      <c r="C136" s="14">
        <v>-6</v>
      </c>
      <c r="D136" s="35">
        <v>0.25</v>
      </c>
      <c r="M136" s="14"/>
      <c r="N136" s="35"/>
    </row>
    <row r="137" spans="1:14" ht="12.75">
      <c r="A137" s="34">
        <v>136</v>
      </c>
      <c r="B137" s="14" t="s">
        <v>555</v>
      </c>
      <c r="C137" s="14">
        <v>-7</v>
      </c>
      <c r="D137" s="35">
        <v>0.2916666666666667</v>
      </c>
      <c r="M137" s="14"/>
      <c r="N137" s="35"/>
    </row>
    <row r="138" spans="1:14" ht="12.75">
      <c r="A138" s="34">
        <v>137</v>
      </c>
      <c r="B138" s="14" t="s">
        <v>556</v>
      </c>
      <c r="C138" s="14">
        <v>4.5</v>
      </c>
      <c r="D138" s="35">
        <v>0.1875</v>
      </c>
      <c r="M138" s="14"/>
      <c r="N138" s="35"/>
    </row>
    <row r="139" spans="1:14" ht="12.75">
      <c r="A139" s="34">
        <v>138</v>
      </c>
      <c r="B139" s="14" t="s">
        <v>557</v>
      </c>
      <c r="C139" s="14">
        <v>0</v>
      </c>
      <c r="D139" s="35">
        <v>0</v>
      </c>
      <c r="M139" s="14"/>
      <c r="N139" s="35"/>
    </row>
    <row r="140" spans="1:14" ht="12.75">
      <c r="A140" s="34">
        <v>139</v>
      </c>
      <c r="B140" s="14" t="s">
        <v>558</v>
      </c>
      <c r="C140" s="14">
        <v>0</v>
      </c>
      <c r="D140" s="35">
        <v>0</v>
      </c>
      <c r="M140" s="14"/>
      <c r="N140" s="35"/>
    </row>
  </sheetData>
  <sheetProtection password="ECEE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44"/>
  <sheetViews>
    <sheetView showGridLines="0" workbookViewId="0" topLeftCell="A3">
      <selection activeCell="F21" sqref="F21"/>
    </sheetView>
  </sheetViews>
  <sheetFormatPr defaultColWidth="9.140625" defaultRowHeight="12.75"/>
  <cols>
    <col min="1" max="1" width="14.140625" style="2" bestFit="1" customWidth="1"/>
    <col min="2" max="6" width="9.140625" style="2" customWidth="1"/>
    <col min="7" max="7" width="14.28125" style="2" customWidth="1"/>
    <col min="8" max="16384" width="9.140625" style="2" customWidth="1"/>
  </cols>
  <sheetData>
    <row r="2" spans="1:4" ht="12.75">
      <c r="A2" s="2" t="s">
        <v>57</v>
      </c>
      <c r="D2" s="2" t="s">
        <v>58</v>
      </c>
    </row>
    <row r="3" spans="1:7" ht="12.75">
      <c r="A3" s="2" t="s">
        <v>59</v>
      </c>
      <c r="D3" s="2" t="s">
        <v>418</v>
      </c>
      <c r="G3" s="2" t="s">
        <v>419</v>
      </c>
    </row>
    <row r="5" spans="1:8" ht="12.75">
      <c r="A5" s="2" t="s">
        <v>408</v>
      </c>
      <c r="B5" s="2">
        <v>1</v>
      </c>
      <c r="D5" s="2" t="s">
        <v>408</v>
      </c>
      <c r="E5" s="2">
        <v>1</v>
      </c>
      <c r="G5" s="2" t="s">
        <v>408</v>
      </c>
      <c r="H5" s="2">
        <v>1</v>
      </c>
    </row>
    <row r="6" spans="1:8" ht="12.75">
      <c r="A6" s="43" t="s">
        <v>16</v>
      </c>
      <c r="B6" s="2">
        <v>2</v>
      </c>
      <c r="D6" s="44" t="s">
        <v>284</v>
      </c>
      <c r="E6" s="2">
        <v>2</v>
      </c>
      <c r="G6" s="44" t="s">
        <v>420</v>
      </c>
      <c r="H6" s="2">
        <v>2</v>
      </c>
    </row>
    <row r="7" spans="1:8" ht="12.75">
      <c r="A7" s="43" t="s">
        <v>4</v>
      </c>
      <c r="B7" s="2">
        <v>3</v>
      </c>
      <c r="D7" s="44" t="s">
        <v>390</v>
      </c>
      <c r="E7" s="2">
        <v>3</v>
      </c>
      <c r="G7" s="44" t="s">
        <v>421</v>
      </c>
      <c r="H7" s="2">
        <v>3</v>
      </c>
    </row>
    <row r="8" spans="1:8" ht="12.75">
      <c r="A8" s="43" t="s">
        <v>5</v>
      </c>
      <c r="B8" s="2">
        <v>4</v>
      </c>
      <c r="D8" s="44" t="s">
        <v>370</v>
      </c>
      <c r="E8" s="2">
        <v>4</v>
      </c>
      <c r="G8" s="44" t="s">
        <v>422</v>
      </c>
      <c r="H8" s="2">
        <v>4</v>
      </c>
    </row>
    <row r="9" spans="1:8" ht="12.75">
      <c r="A9" s="43" t="s">
        <v>12</v>
      </c>
      <c r="B9" s="2">
        <v>5</v>
      </c>
      <c r="D9" s="44" t="s">
        <v>301</v>
      </c>
      <c r="E9" s="2">
        <v>5</v>
      </c>
      <c r="G9" s="44" t="s">
        <v>423</v>
      </c>
      <c r="H9" s="2">
        <v>5</v>
      </c>
    </row>
    <row r="10" spans="1:8" ht="12.75">
      <c r="A10" s="43" t="s">
        <v>17</v>
      </c>
      <c r="B10" s="2">
        <v>6</v>
      </c>
      <c r="D10" s="44" t="s">
        <v>169</v>
      </c>
      <c r="E10" s="2">
        <v>6</v>
      </c>
      <c r="G10" s="44" t="s">
        <v>424</v>
      </c>
      <c r="H10" s="2">
        <v>6</v>
      </c>
    </row>
    <row r="11" spans="1:8" ht="12.75">
      <c r="A11" s="43" t="s">
        <v>7</v>
      </c>
      <c r="B11" s="2">
        <v>7</v>
      </c>
      <c r="D11" s="44" t="s">
        <v>407</v>
      </c>
      <c r="E11" s="2">
        <v>7</v>
      </c>
      <c r="G11" s="44" t="s">
        <v>425</v>
      </c>
      <c r="H11" s="2">
        <v>7</v>
      </c>
    </row>
    <row r="12" spans="1:8" ht="12.75">
      <c r="A12" s="43" t="s">
        <v>13</v>
      </c>
      <c r="B12" s="2">
        <v>8</v>
      </c>
      <c r="D12" s="44" t="s">
        <v>352</v>
      </c>
      <c r="E12" s="2">
        <v>8</v>
      </c>
      <c r="G12" s="44" t="s">
        <v>426</v>
      </c>
      <c r="H12" s="2">
        <v>8</v>
      </c>
    </row>
    <row r="13" spans="1:8" ht="12.75">
      <c r="A13" s="43" t="s">
        <v>6</v>
      </c>
      <c r="B13" s="2">
        <v>9</v>
      </c>
      <c r="D13" s="44" t="s">
        <v>218</v>
      </c>
      <c r="E13" s="2">
        <v>9</v>
      </c>
      <c r="G13" s="44" t="s">
        <v>427</v>
      </c>
      <c r="H13" s="2">
        <v>9</v>
      </c>
    </row>
    <row r="14" spans="1:8" ht="12.75">
      <c r="A14" s="43" t="s">
        <v>14</v>
      </c>
      <c r="B14" s="2">
        <v>10</v>
      </c>
      <c r="D14" s="44" t="s">
        <v>208</v>
      </c>
      <c r="E14" s="2">
        <v>10</v>
      </c>
      <c r="G14" s="44" t="s">
        <v>428</v>
      </c>
      <c r="H14" s="2">
        <v>10</v>
      </c>
    </row>
    <row r="15" spans="1:8" ht="12.75">
      <c r="A15" s="43" t="s">
        <v>9</v>
      </c>
      <c r="B15" s="2">
        <v>11</v>
      </c>
      <c r="D15" s="44" t="s">
        <v>259</v>
      </c>
      <c r="E15" s="2">
        <v>11</v>
      </c>
      <c r="G15" s="44" t="s">
        <v>429</v>
      </c>
      <c r="H15" s="2">
        <v>11</v>
      </c>
    </row>
    <row r="16" spans="1:8" ht="12.75">
      <c r="A16" s="43" t="s">
        <v>8</v>
      </c>
      <c r="B16" s="2">
        <v>12</v>
      </c>
      <c r="D16" s="44" t="s">
        <v>18</v>
      </c>
      <c r="E16" s="2">
        <v>12</v>
      </c>
      <c r="G16" s="44" t="s">
        <v>430</v>
      </c>
      <c r="H16" s="2">
        <v>12</v>
      </c>
    </row>
    <row r="17" spans="1:8" ht="12.75">
      <c r="A17" s="43" t="s">
        <v>18</v>
      </c>
      <c r="B17" s="2">
        <v>13</v>
      </c>
      <c r="D17" s="44" t="s">
        <v>102</v>
      </c>
      <c r="E17" s="2">
        <v>13</v>
      </c>
      <c r="G17" s="44" t="s">
        <v>431</v>
      </c>
      <c r="H17" s="2">
        <v>13</v>
      </c>
    </row>
    <row r="18" spans="1:8" ht="12.75">
      <c r="A18" s="43" t="s">
        <v>15</v>
      </c>
      <c r="B18" s="2">
        <v>14</v>
      </c>
      <c r="D18" s="44" t="s">
        <v>318</v>
      </c>
      <c r="E18" s="2">
        <v>14</v>
      </c>
      <c r="G18" s="44" t="s">
        <v>432</v>
      </c>
      <c r="H18" s="2">
        <v>14</v>
      </c>
    </row>
    <row r="19" spans="1:8" ht="12.75">
      <c r="A19" s="43" t="s">
        <v>11</v>
      </c>
      <c r="B19" s="2">
        <v>15</v>
      </c>
      <c r="D19" s="44" t="s">
        <v>186</v>
      </c>
      <c r="E19" s="2">
        <v>15</v>
      </c>
      <c r="G19" s="44" t="s">
        <v>433</v>
      </c>
      <c r="H19" s="2">
        <v>15</v>
      </c>
    </row>
    <row r="20" spans="1:8" ht="12.75">
      <c r="A20" s="43" t="s">
        <v>19</v>
      </c>
      <c r="B20" s="2">
        <v>16</v>
      </c>
      <c r="D20" s="44" t="s">
        <v>112</v>
      </c>
      <c r="E20" s="2">
        <v>16</v>
      </c>
      <c r="G20" s="44" t="s">
        <v>434</v>
      </c>
      <c r="H20" s="2">
        <v>16</v>
      </c>
    </row>
    <row r="21" spans="1:8" ht="12.75">
      <c r="A21" s="43" t="s">
        <v>10</v>
      </c>
      <c r="B21" s="2">
        <v>17</v>
      </c>
      <c r="D21" s="44" t="s">
        <v>143</v>
      </c>
      <c r="E21" s="2">
        <v>17</v>
      </c>
      <c r="G21" s="44" t="s">
        <v>435</v>
      </c>
      <c r="H21" s="2">
        <v>17</v>
      </c>
    </row>
    <row r="22" spans="1:8" ht="12.75">
      <c r="A22" s="43"/>
      <c r="D22" s="44" t="s">
        <v>373</v>
      </c>
      <c r="E22" s="2">
        <v>18</v>
      </c>
      <c r="G22" s="44" t="s">
        <v>436</v>
      </c>
      <c r="H22" s="2">
        <v>18</v>
      </c>
    </row>
    <row r="23" spans="4:8" ht="12.75">
      <c r="D23" s="44" t="s">
        <v>230</v>
      </c>
      <c r="E23" s="2">
        <v>19</v>
      </c>
      <c r="G23" s="44" t="s">
        <v>437</v>
      </c>
      <c r="H23" s="2">
        <v>19</v>
      </c>
    </row>
    <row r="24" spans="4:8" ht="12.75">
      <c r="D24" s="44" t="s">
        <v>142</v>
      </c>
      <c r="E24" s="2">
        <v>20</v>
      </c>
      <c r="G24" s="44" t="s">
        <v>438</v>
      </c>
      <c r="H24" s="2">
        <v>20</v>
      </c>
    </row>
    <row r="25" spans="4:8" ht="12.75">
      <c r="D25" s="44" t="s">
        <v>113</v>
      </c>
      <c r="E25" s="2">
        <v>21</v>
      </c>
      <c r="G25" s="44" t="s">
        <v>439</v>
      </c>
      <c r="H25" s="2">
        <v>21</v>
      </c>
    </row>
    <row r="26" spans="4:8" ht="12.75">
      <c r="D26" s="44" t="s">
        <v>193</v>
      </c>
      <c r="E26" s="2">
        <v>22</v>
      </c>
      <c r="G26" s="44" t="s">
        <v>440</v>
      </c>
      <c r="H26" s="2">
        <v>22</v>
      </c>
    </row>
    <row r="27" spans="4:8" ht="12.75">
      <c r="D27" s="44" t="s">
        <v>325</v>
      </c>
      <c r="E27" s="2">
        <v>23</v>
      </c>
      <c r="G27" s="44" t="s">
        <v>441</v>
      </c>
      <c r="H27" s="2">
        <v>23</v>
      </c>
    </row>
    <row r="28" spans="4:8" ht="12.75">
      <c r="D28" s="44" t="s">
        <v>276</v>
      </c>
      <c r="E28" s="2">
        <v>24</v>
      </c>
      <c r="G28" s="44" t="s">
        <v>442</v>
      </c>
      <c r="H28" s="2">
        <v>24</v>
      </c>
    </row>
    <row r="29" spans="4:8" ht="12.75">
      <c r="D29" s="44" t="s">
        <v>244</v>
      </c>
      <c r="E29" s="2">
        <v>25</v>
      </c>
      <c r="G29" s="44" t="s">
        <v>443</v>
      </c>
      <c r="H29" s="2">
        <v>25</v>
      </c>
    </row>
    <row r="30" spans="4:8" ht="12.75">
      <c r="D30" s="44" t="s">
        <v>101</v>
      </c>
      <c r="E30" s="2">
        <v>26</v>
      </c>
      <c r="G30" s="44" t="s">
        <v>444</v>
      </c>
      <c r="H30" s="2">
        <v>26</v>
      </c>
    </row>
    <row r="31" spans="4:8" ht="12.75">
      <c r="D31" s="44" t="s">
        <v>342</v>
      </c>
      <c r="E31" s="2">
        <v>27</v>
      </c>
      <c r="G31" s="44" t="s">
        <v>445</v>
      </c>
      <c r="H31" s="2">
        <v>27</v>
      </c>
    </row>
    <row r="32" spans="4:8" ht="12.75">
      <c r="D32" s="44" t="s">
        <v>367</v>
      </c>
      <c r="E32" s="2">
        <v>28</v>
      </c>
      <c r="G32" s="44" t="s">
        <v>446</v>
      </c>
      <c r="H32" s="2">
        <v>28</v>
      </c>
    </row>
    <row r="33" spans="4:8" ht="12.75">
      <c r="D33" s="45" t="s">
        <v>42</v>
      </c>
      <c r="E33" s="2">
        <v>29</v>
      </c>
      <c r="G33" s="44" t="s">
        <v>447</v>
      </c>
      <c r="H33" s="2">
        <v>29</v>
      </c>
    </row>
    <row r="34" spans="7:8" ht="12.75">
      <c r="G34" s="44" t="s">
        <v>448</v>
      </c>
      <c r="H34" s="2">
        <v>30</v>
      </c>
    </row>
    <row r="35" spans="7:8" ht="12.75">
      <c r="G35" s="44" t="s">
        <v>449</v>
      </c>
      <c r="H35" s="2">
        <v>31</v>
      </c>
    </row>
    <row r="36" spans="7:8" ht="12.75">
      <c r="G36" s="44" t="s">
        <v>450</v>
      </c>
      <c r="H36" s="2">
        <v>32</v>
      </c>
    </row>
    <row r="37" spans="7:8" ht="12.75">
      <c r="G37" s="44" t="s">
        <v>451</v>
      </c>
      <c r="H37" s="2">
        <v>33</v>
      </c>
    </row>
    <row r="38" spans="7:8" ht="12.75">
      <c r="G38" s="44" t="s">
        <v>452</v>
      </c>
      <c r="H38" s="2">
        <v>34</v>
      </c>
    </row>
    <row r="39" spans="7:8" ht="12.75">
      <c r="G39" s="44" t="s">
        <v>453</v>
      </c>
      <c r="H39" s="2">
        <v>35</v>
      </c>
    </row>
    <row r="40" spans="7:8" ht="12.75">
      <c r="G40" s="44" t="s">
        <v>454</v>
      </c>
      <c r="H40" s="2">
        <v>36</v>
      </c>
    </row>
    <row r="41" spans="7:8" ht="12.75">
      <c r="G41" s="44" t="s">
        <v>455</v>
      </c>
      <c r="H41" s="2">
        <v>37</v>
      </c>
    </row>
    <row r="42" spans="7:8" ht="12.75">
      <c r="G42" s="44" t="s">
        <v>456</v>
      </c>
      <c r="H42" s="2">
        <v>38</v>
      </c>
    </row>
    <row r="43" spans="7:8" ht="12.75">
      <c r="G43" s="44" t="s">
        <v>457</v>
      </c>
      <c r="H43" s="2">
        <v>39</v>
      </c>
    </row>
    <row r="44" spans="7:8" ht="12.75">
      <c r="G44" s="44" t="s">
        <v>458</v>
      </c>
      <c r="H44" s="2">
        <v>40</v>
      </c>
    </row>
    <row r="45" spans="7:8" ht="12.75">
      <c r="G45" s="44" t="s">
        <v>459</v>
      </c>
      <c r="H45" s="2">
        <v>41</v>
      </c>
    </row>
    <row r="46" spans="7:8" ht="12.75">
      <c r="G46" s="44" t="s">
        <v>460</v>
      </c>
      <c r="H46" s="2">
        <v>42</v>
      </c>
    </row>
    <row r="47" spans="7:8" ht="12.75">
      <c r="G47" s="44" t="s">
        <v>461</v>
      </c>
      <c r="H47" s="2">
        <v>43</v>
      </c>
    </row>
    <row r="48" spans="7:8" ht="12.75">
      <c r="G48" s="44" t="s">
        <v>462</v>
      </c>
      <c r="H48" s="2">
        <v>44</v>
      </c>
    </row>
    <row r="49" spans="7:8" ht="12.75">
      <c r="G49" s="44" t="s">
        <v>463</v>
      </c>
      <c r="H49" s="2">
        <v>45</v>
      </c>
    </row>
    <row r="50" spans="7:8" ht="12.75">
      <c r="G50" s="44" t="s">
        <v>464</v>
      </c>
      <c r="H50" s="2">
        <v>46</v>
      </c>
    </row>
    <row r="51" spans="7:8" ht="12.75">
      <c r="G51" s="44" t="s">
        <v>465</v>
      </c>
      <c r="H51" s="2">
        <v>47</v>
      </c>
    </row>
    <row r="52" spans="7:8" ht="12.75">
      <c r="G52" s="44" t="s">
        <v>466</v>
      </c>
      <c r="H52" s="2">
        <v>48</v>
      </c>
    </row>
    <row r="53" spans="7:8" ht="12.75">
      <c r="G53" s="44" t="s">
        <v>467</v>
      </c>
      <c r="H53" s="2">
        <v>49</v>
      </c>
    </row>
    <row r="54" spans="7:8" ht="12.75">
      <c r="G54" s="44" t="s">
        <v>468</v>
      </c>
      <c r="H54" s="2">
        <v>50</v>
      </c>
    </row>
    <row r="55" spans="7:8" ht="12.75">
      <c r="G55" s="44" t="s">
        <v>469</v>
      </c>
      <c r="H55" s="2">
        <v>51</v>
      </c>
    </row>
    <row r="56" spans="7:8" ht="12.75">
      <c r="G56" s="44" t="s">
        <v>470</v>
      </c>
      <c r="H56" s="2">
        <v>52</v>
      </c>
    </row>
    <row r="57" spans="7:8" ht="12.75">
      <c r="G57" s="44" t="s">
        <v>471</v>
      </c>
      <c r="H57" s="2">
        <v>53</v>
      </c>
    </row>
    <row r="58" spans="7:8" ht="12.75">
      <c r="G58" s="44" t="s">
        <v>472</v>
      </c>
      <c r="H58" s="2">
        <v>54</v>
      </c>
    </row>
    <row r="59" spans="7:8" ht="12.75">
      <c r="G59" s="44" t="s">
        <v>473</v>
      </c>
      <c r="H59" s="2">
        <v>55</v>
      </c>
    </row>
    <row r="60" spans="7:8" ht="12.75">
      <c r="G60" s="44" t="s">
        <v>474</v>
      </c>
      <c r="H60" s="2">
        <v>56</v>
      </c>
    </row>
    <row r="61" spans="7:8" ht="12.75">
      <c r="G61" s="44" t="s">
        <v>475</v>
      </c>
      <c r="H61" s="2">
        <v>57</v>
      </c>
    </row>
    <row r="62" spans="7:8" ht="12.75">
      <c r="G62" s="44" t="s">
        <v>476</v>
      </c>
      <c r="H62" s="2">
        <v>58</v>
      </c>
    </row>
    <row r="63" spans="7:8" ht="12.75">
      <c r="G63" s="44" t="s">
        <v>477</v>
      </c>
      <c r="H63" s="2">
        <v>59</v>
      </c>
    </row>
    <row r="64" spans="7:8" ht="12.75">
      <c r="G64" s="44" t="s">
        <v>478</v>
      </c>
      <c r="H64" s="2">
        <v>60</v>
      </c>
    </row>
    <row r="65" spans="7:8" ht="12.75">
      <c r="G65" s="44" t="s">
        <v>479</v>
      </c>
      <c r="H65" s="2">
        <v>61</v>
      </c>
    </row>
    <row r="66" spans="7:8" ht="12.75">
      <c r="G66" s="44" t="s">
        <v>480</v>
      </c>
      <c r="H66" s="2">
        <v>62</v>
      </c>
    </row>
    <row r="67" spans="7:8" ht="12.75">
      <c r="G67" s="44" t="s">
        <v>481</v>
      </c>
      <c r="H67" s="2">
        <v>63</v>
      </c>
    </row>
    <row r="68" spans="7:8" ht="12.75">
      <c r="G68" s="44" t="s">
        <v>482</v>
      </c>
      <c r="H68" s="2">
        <v>64</v>
      </c>
    </row>
    <row r="69" spans="7:8" ht="12.75">
      <c r="G69" s="44" t="s">
        <v>483</v>
      </c>
      <c r="H69" s="2">
        <v>65</v>
      </c>
    </row>
    <row r="70" spans="7:8" ht="12.75">
      <c r="G70" s="44" t="s">
        <v>484</v>
      </c>
      <c r="H70" s="2">
        <v>66</v>
      </c>
    </row>
    <row r="71" spans="7:8" ht="12.75">
      <c r="G71" s="44" t="s">
        <v>485</v>
      </c>
      <c r="H71" s="2">
        <v>67</v>
      </c>
    </row>
    <row r="72" spans="7:8" ht="12.75">
      <c r="G72" s="44" t="s">
        <v>486</v>
      </c>
      <c r="H72" s="2">
        <v>68</v>
      </c>
    </row>
    <row r="73" spans="7:8" ht="12.75">
      <c r="G73" s="44" t="s">
        <v>487</v>
      </c>
      <c r="H73" s="2">
        <v>69</v>
      </c>
    </row>
    <row r="74" spans="7:8" ht="12.75">
      <c r="G74" s="44" t="s">
        <v>488</v>
      </c>
      <c r="H74" s="2">
        <v>70</v>
      </c>
    </row>
    <row r="75" spans="7:8" ht="12.75">
      <c r="G75" s="44" t="s">
        <v>489</v>
      </c>
      <c r="H75" s="2">
        <v>71</v>
      </c>
    </row>
    <row r="76" spans="7:8" ht="12.75">
      <c r="G76" s="44" t="s">
        <v>490</v>
      </c>
      <c r="H76" s="2">
        <v>72</v>
      </c>
    </row>
    <row r="77" spans="7:8" ht="12.75">
      <c r="G77" s="44" t="s">
        <v>491</v>
      </c>
      <c r="H77" s="2">
        <v>73</v>
      </c>
    </row>
    <row r="78" spans="7:8" ht="12.75">
      <c r="G78" s="44" t="s">
        <v>492</v>
      </c>
      <c r="H78" s="2">
        <v>74</v>
      </c>
    </row>
    <row r="79" spans="7:8" ht="12.75">
      <c r="G79" s="44" t="s">
        <v>493</v>
      </c>
      <c r="H79" s="2">
        <v>75</v>
      </c>
    </row>
    <row r="80" spans="7:8" ht="12.75">
      <c r="G80" s="44" t="s">
        <v>494</v>
      </c>
      <c r="H80" s="2">
        <v>76</v>
      </c>
    </row>
    <row r="81" spans="7:8" ht="12.75">
      <c r="G81" s="44" t="s">
        <v>495</v>
      </c>
      <c r="H81" s="2">
        <v>77</v>
      </c>
    </row>
    <row r="82" spans="7:8" ht="12.75">
      <c r="G82" s="44" t="s">
        <v>496</v>
      </c>
      <c r="H82" s="2">
        <v>78</v>
      </c>
    </row>
    <row r="83" spans="7:8" ht="12.75">
      <c r="G83" s="44" t="s">
        <v>497</v>
      </c>
      <c r="H83" s="2">
        <v>79</v>
      </c>
    </row>
    <row r="84" spans="7:8" ht="12.75">
      <c r="G84" s="44" t="s">
        <v>498</v>
      </c>
      <c r="H84" s="2">
        <v>80</v>
      </c>
    </row>
    <row r="85" spans="7:8" ht="12.75">
      <c r="G85" s="44" t="s">
        <v>499</v>
      </c>
      <c r="H85" s="2">
        <v>81</v>
      </c>
    </row>
    <row r="86" spans="7:8" ht="12.75">
      <c r="G86" s="44" t="s">
        <v>500</v>
      </c>
      <c r="H86" s="2">
        <v>82</v>
      </c>
    </row>
    <row r="87" spans="7:8" ht="12.75">
      <c r="G87" s="44" t="s">
        <v>501</v>
      </c>
      <c r="H87" s="2">
        <v>83</v>
      </c>
    </row>
    <row r="88" spans="7:8" ht="12.75">
      <c r="G88" s="44" t="s">
        <v>502</v>
      </c>
      <c r="H88" s="2">
        <v>84</v>
      </c>
    </row>
    <row r="89" spans="7:8" ht="12.75">
      <c r="G89" s="44" t="s">
        <v>503</v>
      </c>
      <c r="H89" s="2">
        <v>85</v>
      </c>
    </row>
    <row r="90" spans="7:8" ht="12.75">
      <c r="G90" s="44" t="s">
        <v>504</v>
      </c>
      <c r="H90" s="2">
        <v>86</v>
      </c>
    </row>
    <row r="91" spans="7:8" ht="12.75">
      <c r="G91" s="44" t="s">
        <v>505</v>
      </c>
      <c r="H91" s="2">
        <v>87</v>
      </c>
    </row>
    <row r="92" spans="7:8" ht="12.75">
      <c r="G92" s="44" t="s">
        <v>506</v>
      </c>
      <c r="H92" s="2">
        <v>88</v>
      </c>
    </row>
    <row r="93" spans="7:8" ht="12.75">
      <c r="G93" s="44" t="s">
        <v>507</v>
      </c>
      <c r="H93" s="2">
        <v>89</v>
      </c>
    </row>
    <row r="94" spans="7:8" ht="12.75">
      <c r="G94" s="44" t="s">
        <v>508</v>
      </c>
      <c r="H94" s="2">
        <v>90</v>
      </c>
    </row>
    <row r="95" spans="7:8" ht="12.75">
      <c r="G95" s="44" t="s">
        <v>509</v>
      </c>
      <c r="H95" s="2">
        <v>91</v>
      </c>
    </row>
    <row r="96" spans="7:8" ht="12.75">
      <c r="G96" s="44" t="s">
        <v>510</v>
      </c>
      <c r="H96" s="2">
        <v>92</v>
      </c>
    </row>
    <row r="97" spans="7:8" ht="12.75">
      <c r="G97" s="44" t="s">
        <v>511</v>
      </c>
      <c r="H97" s="2">
        <v>93</v>
      </c>
    </row>
    <row r="98" spans="7:8" ht="12.75">
      <c r="G98" s="44" t="s">
        <v>512</v>
      </c>
      <c r="H98" s="2">
        <v>94</v>
      </c>
    </row>
    <row r="99" spans="7:8" ht="12.75">
      <c r="G99" s="44" t="s">
        <v>513</v>
      </c>
      <c r="H99" s="2">
        <v>95</v>
      </c>
    </row>
    <row r="100" spans="7:8" ht="12.75">
      <c r="G100" s="44" t="s">
        <v>514</v>
      </c>
      <c r="H100" s="2">
        <v>96</v>
      </c>
    </row>
    <row r="101" spans="7:8" ht="12.75">
      <c r="G101" s="44" t="s">
        <v>515</v>
      </c>
      <c r="H101" s="2">
        <v>97</v>
      </c>
    </row>
    <row r="102" spans="7:8" ht="12.75">
      <c r="G102" s="44" t="s">
        <v>516</v>
      </c>
      <c r="H102" s="2">
        <v>98</v>
      </c>
    </row>
    <row r="103" spans="7:8" ht="12.75">
      <c r="G103" s="44" t="s">
        <v>517</v>
      </c>
      <c r="H103" s="2">
        <v>99</v>
      </c>
    </row>
    <row r="104" spans="7:8" ht="12.75">
      <c r="G104" s="44" t="s">
        <v>518</v>
      </c>
      <c r="H104" s="2">
        <v>100</v>
      </c>
    </row>
    <row r="105" spans="7:8" ht="12.75">
      <c r="G105" s="44" t="s">
        <v>519</v>
      </c>
      <c r="H105" s="2">
        <v>101</v>
      </c>
    </row>
    <row r="106" spans="7:8" ht="12.75">
      <c r="G106" s="44" t="s">
        <v>520</v>
      </c>
      <c r="H106" s="2">
        <v>102</v>
      </c>
    </row>
    <row r="107" spans="7:8" ht="12.75">
      <c r="G107" s="44" t="s">
        <v>521</v>
      </c>
      <c r="H107" s="2">
        <v>103</v>
      </c>
    </row>
    <row r="108" spans="7:8" ht="12.75">
      <c r="G108" s="44" t="s">
        <v>522</v>
      </c>
      <c r="H108" s="2">
        <v>104</v>
      </c>
    </row>
    <row r="109" spans="7:8" ht="12.75">
      <c r="G109" s="44" t="s">
        <v>523</v>
      </c>
      <c r="H109" s="2">
        <v>105</v>
      </c>
    </row>
    <row r="110" spans="7:8" ht="12.75">
      <c r="G110" s="44" t="s">
        <v>524</v>
      </c>
      <c r="H110" s="2">
        <v>106</v>
      </c>
    </row>
    <row r="111" spans="7:8" ht="12.75">
      <c r="G111" s="44" t="s">
        <v>525</v>
      </c>
      <c r="H111" s="2">
        <v>107</v>
      </c>
    </row>
    <row r="112" spans="7:8" ht="12.75">
      <c r="G112" s="44" t="s">
        <v>526</v>
      </c>
      <c r="H112" s="2">
        <v>108</v>
      </c>
    </row>
    <row r="113" spans="7:8" ht="12.75">
      <c r="G113" s="44" t="s">
        <v>527</v>
      </c>
      <c r="H113" s="2">
        <v>109</v>
      </c>
    </row>
    <row r="114" spans="7:8" ht="12.75">
      <c r="G114" s="44" t="s">
        <v>528</v>
      </c>
      <c r="H114" s="2">
        <v>110</v>
      </c>
    </row>
    <row r="115" spans="7:8" ht="12.75">
      <c r="G115" s="44" t="s">
        <v>529</v>
      </c>
      <c r="H115" s="2">
        <v>111</v>
      </c>
    </row>
    <row r="116" spans="7:8" ht="12.75">
      <c r="G116" s="44" t="s">
        <v>530</v>
      </c>
      <c r="H116" s="2">
        <v>112</v>
      </c>
    </row>
    <row r="117" spans="7:8" ht="12.75">
      <c r="G117" s="44" t="s">
        <v>531</v>
      </c>
      <c r="H117" s="2">
        <v>113</v>
      </c>
    </row>
    <row r="118" spans="7:8" ht="12.75">
      <c r="G118" s="44" t="s">
        <v>532</v>
      </c>
      <c r="H118" s="2">
        <v>114</v>
      </c>
    </row>
    <row r="119" spans="7:8" ht="12.75">
      <c r="G119" s="44" t="s">
        <v>533</v>
      </c>
      <c r="H119" s="2">
        <v>115</v>
      </c>
    </row>
    <row r="120" spans="7:8" ht="12.75">
      <c r="G120" s="44" t="s">
        <v>534</v>
      </c>
      <c r="H120" s="2">
        <v>116</v>
      </c>
    </row>
    <row r="121" spans="7:8" ht="12.75">
      <c r="G121" s="44" t="s">
        <v>535</v>
      </c>
      <c r="H121" s="2">
        <v>117</v>
      </c>
    </row>
    <row r="122" spans="7:8" ht="12.75">
      <c r="G122" s="44" t="s">
        <v>536</v>
      </c>
      <c r="H122" s="2">
        <v>118</v>
      </c>
    </row>
    <row r="123" spans="7:8" ht="12.75">
      <c r="G123" s="44" t="s">
        <v>537</v>
      </c>
      <c r="H123" s="2">
        <v>119</v>
      </c>
    </row>
    <row r="124" spans="7:8" ht="12.75">
      <c r="G124" s="44" t="s">
        <v>538</v>
      </c>
      <c r="H124" s="2">
        <v>120</v>
      </c>
    </row>
    <row r="125" spans="7:8" ht="12.75">
      <c r="G125" s="44" t="s">
        <v>539</v>
      </c>
      <c r="H125" s="2">
        <v>121</v>
      </c>
    </row>
    <row r="126" spans="7:8" ht="12.75">
      <c r="G126" s="44" t="s">
        <v>540</v>
      </c>
      <c r="H126" s="2">
        <v>122</v>
      </c>
    </row>
    <row r="127" spans="7:8" ht="12.75">
      <c r="G127" s="44" t="s">
        <v>541</v>
      </c>
      <c r="H127" s="2">
        <v>123</v>
      </c>
    </row>
    <row r="128" spans="7:8" ht="12.75">
      <c r="G128" s="44" t="s">
        <v>542</v>
      </c>
      <c r="H128" s="2">
        <v>124</v>
      </c>
    </row>
    <row r="129" spans="7:8" ht="12.75">
      <c r="G129" s="44" t="s">
        <v>543</v>
      </c>
      <c r="H129" s="2">
        <v>125</v>
      </c>
    </row>
    <row r="130" spans="7:8" ht="12.75">
      <c r="G130" s="44" t="s">
        <v>544</v>
      </c>
      <c r="H130" s="2">
        <v>126</v>
      </c>
    </row>
    <row r="131" spans="7:8" ht="12.75">
      <c r="G131" s="44" t="s">
        <v>545</v>
      </c>
      <c r="H131" s="2">
        <v>127</v>
      </c>
    </row>
    <row r="132" spans="7:8" ht="12.75">
      <c r="G132" s="44" t="s">
        <v>546</v>
      </c>
      <c r="H132" s="2">
        <v>128</v>
      </c>
    </row>
    <row r="133" spans="7:8" ht="12.75">
      <c r="G133" s="44" t="s">
        <v>547</v>
      </c>
      <c r="H133" s="2">
        <v>129</v>
      </c>
    </row>
    <row r="134" spans="7:8" ht="12.75">
      <c r="G134" s="44" t="s">
        <v>548</v>
      </c>
      <c r="H134" s="2">
        <v>130</v>
      </c>
    </row>
    <row r="135" spans="7:8" ht="12.75">
      <c r="G135" s="44" t="s">
        <v>549</v>
      </c>
      <c r="H135" s="2">
        <v>131</v>
      </c>
    </row>
    <row r="136" spans="7:8" ht="12.75">
      <c r="G136" s="44" t="s">
        <v>550</v>
      </c>
      <c r="H136" s="2">
        <v>132</v>
      </c>
    </row>
    <row r="137" spans="7:8" ht="12.75">
      <c r="G137" s="44" t="s">
        <v>551</v>
      </c>
      <c r="H137" s="2">
        <v>133</v>
      </c>
    </row>
    <row r="138" spans="7:8" ht="12.75">
      <c r="G138" s="44" t="s">
        <v>552</v>
      </c>
      <c r="H138" s="2">
        <v>134</v>
      </c>
    </row>
    <row r="139" spans="7:8" ht="12.75">
      <c r="G139" s="44" t="s">
        <v>553</v>
      </c>
      <c r="H139" s="2">
        <v>135</v>
      </c>
    </row>
    <row r="140" spans="7:8" ht="12.75">
      <c r="G140" s="44" t="s">
        <v>554</v>
      </c>
      <c r="H140" s="2">
        <v>136</v>
      </c>
    </row>
    <row r="141" spans="7:8" ht="12.75">
      <c r="G141" s="44" t="s">
        <v>555</v>
      </c>
      <c r="H141" s="2">
        <v>137</v>
      </c>
    </row>
    <row r="142" spans="7:8" ht="12.75">
      <c r="G142" s="44" t="s">
        <v>556</v>
      </c>
      <c r="H142" s="2">
        <v>138</v>
      </c>
    </row>
    <row r="143" spans="7:8" ht="12.75">
      <c r="G143" s="44" t="s">
        <v>557</v>
      </c>
      <c r="H143" s="2">
        <v>139</v>
      </c>
    </row>
    <row r="144" spans="7:8" ht="12.75">
      <c r="G144" s="44" t="s">
        <v>558</v>
      </c>
      <c r="H144" s="2">
        <v>140</v>
      </c>
    </row>
  </sheetData>
  <sheetProtection password="ECEE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cp:lastPrinted>2008-05-19T12:45:37Z</cp:lastPrinted>
  <dcterms:created xsi:type="dcterms:W3CDTF">2008-04-13T01:23:18Z</dcterms:created>
  <dcterms:modified xsi:type="dcterms:W3CDTF">2008-05-31T08:55:27Z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