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5210" windowHeight="8190" activeTab="0"/>
  </bookViews>
  <sheets>
    <sheet name="Simple Calculator" sheetId="1" r:id="rId1"/>
    <sheet name="Simple Solar Finance Model" sheetId="2" r:id="rId2"/>
    <sheet name="Adder Information" sheetId="3" r:id="rId3"/>
  </sheets>
  <definedNames>
    <definedName name="_xlnm.Print_Area" localSheetId="2">'Adder Information'!$A$1:$K$56</definedName>
    <definedName name="_xlnm.Print_Area" localSheetId="0">'Simple Calculator'!$A$1:$F$65</definedName>
    <definedName name="_xlnm.Print_Area" localSheetId="1">'Simple Solar Finance Model'!$A$1:$W$76</definedName>
    <definedName name="_xlnm.Print_Titles" localSheetId="1">'Simple Solar Finance Model'!$1:$1</definedName>
    <definedName name="solver_adj" localSheetId="1" hidden="1">'Simple Solar Finance Model'!#REF!</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'Simple Solar Finance Model'!#REF!</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1</definedName>
    <definedName name="solver_val" localSheetId="1" hidden="1">1476</definedName>
  </definedNames>
  <calcPr fullCalcOnLoad="1"/>
</workbook>
</file>

<file path=xl/sharedStrings.xml><?xml version="1.0" encoding="utf-8"?>
<sst xmlns="http://schemas.openxmlformats.org/spreadsheetml/2006/main" count="225" uniqueCount="142">
  <si>
    <t>Loan Period</t>
  </si>
  <si>
    <t>Year</t>
  </si>
  <si>
    <t>Customer Discount Rate</t>
  </si>
  <si>
    <t>Project Life</t>
  </si>
  <si>
    <t>Years</t>
  </si>
  <si>
    <t>$/kWh</t>
  </si>
  <si>
    <t>Project and Customer Cost Assumptions</t>
  </si>
  <si>
    <t>Cash</t>
  </si>
  <si>
    <t>100% Cash or 100% Loan</t>
  </si>
  <si>
    <t>Loan</t>
  </si>
  <si>
    <t>Watts (DC STC)</t>
  </si>
  <si>
    <t>State Tax Deduction</t>
  </si>
  <si>
    <t>Federal Tax Credit</t>
  </si>
  <si>
    <t>Annual Net Capacity Factor</t>
  </si>
  <si>
    <t>$/Watt (DC STC)</t>
  </si>
  <si>
    <t>kW (DC STC) to kWh AC</t>
  </si>
  <si>
    <t>Start-Up</t>
  </si>
  <si>
    <t>Annual Generation (kWh)</t>
  </si>
  <si>
    <t>Project Performance and Savings/ Cost Assumptions</t>
  </si>
  <si>
    <t>REC Revenue</t>
  </si>
  <si>
    <t>Electricity Revenue (Avoided Costs)</t>
  </si>
  <si>
    <t>Electricity Revenue (Avoided Costs) Annual Adjustor</t>
  </si>
  <si>
    <t>REC Revenue Term</t>
  </si>
  <si>
    <t>%</t>
  </si>
  <si>
    <t>Renewable Energy Certificate (REC) Revenue</t>
  </si>
  <si>
    <t>REC Revenue Annual Adjustor</t>
  </si>
  <si>
    <t>Annual Operations and Maintenance Cost</t>
  </si>
  <si>
    <t>Annual Production Degradation</t>
  </si>
  <si>
    <t>Years (must be equal to or less than project life)</t>
  </si>
  <si>
    <t>Annual Operations and Maintenance Adjustor</t>
  </si>
  <si>
    <t>Future Inverter Replacement Cost</t>
  </si>
  <si>
    <t>Year (must be equal to or less than project life)</t>
  </si>
  <si>
    <t>Tax Assumptions</t>
  </si>
  <si>
    <t>Financing Assumptions</t>
  </si>
  <si>
    <t>Solar Photovoltaic System Size</t>
  </si>
  <si>
    <t>$/Year</t>
  </si>
  <si>
    <t>Inverter Replacement Cost</t>
  </si>
  <si>
    <t>Project Output</t>
  </si>
  <si>
    <t>Electricity Revenue (Avoided Cost)</t>
  </si>
  <si>
    <t>Total Revenue (Avoided Costs)</t>
  </si>
  <si>
    <t>Operations &amp; Maintenance Costs</t>
  </si>
  <si>
    <t>Replace Inverter?</t>
  </si>
  <si>
    <t>Inverter Life, Replace Every X Years</t>
  </si>
  <si>
    <t>Beginning Balance</t>
  </si>
  <si>
    <t>Debt Service</t>
  </si>
  <si>
    <t>Principle</t>
  </si>
  <si>
    <t>Interest</t>
  </si>
  <si>
    <t>Ending Balance</t>
  </si>
  <si>
    <t>Simple Payback</t>
  </si>
  <si>
    <t>Net Investment</t>
  </si>
  <si>
    <t>Simple Payback Year</t>
  </si>
  <si>
    <t>CASH FLOW STATEMENT</t>
  </si>
  <si>
    <t>Key</t>
  </si>
  <si>
    <t>Entry Cells</t>
  </si>
  <si>
    <t>Calculation Cells (Not for Entry)</t>
  </si>
  <si>
    <t>PRO FORMA AND PRODUCTION</t>
  </si>
  <si>
    <t>DEBT SCHEDULES</t>
  </si>
  <si>
    <t>Cumulative Cash Flow</t>
  </si>
  <si>
    <t>Annual Cash Flow</t>
  </si>
  <si>
    <t>Solar Project Financial Analysis Summary</t>
  </si>
  <si>
    <t>MTC Rebate Assumptions</t>
  </si>
  <si>
    <t>Total System Cost/Watt</t>
  </si>
  <si>
    <t xml:space="preserve">Total System Cost </t>
  </si>
  <si>
    <t xml:space="preserve">DATA ENTRY AND FINANCIAL SUMMARY </t>
  </si>
  <si>
    <t>Scenario A Rebate</t>
  </si>
  <si>
    <t>Scenario A: Non-Taxable Rebate; Pro Forma Project Economics</t>
  </si>
  <si>
    <t>Scenario A Loan: Debt Schedule</t>
  </si>
  <si>
    <t>MTC Solar Rebate</t>
  </si>
  <si>
    <t xml:space="preserve">Net Present Value </t>
  </si>
  <si>
    <t>Net Cost</t>
  </si>
  <si>
    <t>Loan Payments</t>
  </si>
  <si>
    <t>Effective Loan Interest Rate</t>
  </si>
  <si>
    <t>Initial PV Cost</t>
  </si>
  <si>
    <t>State Tax Credit</t>
  </si>
  <si>
    <t>Revenue</t>
  </si>
  <si>
    <t>Tax Credits</t>
  </si>
  <si>
    <t>Total Tax Credits</t>
  </si>
  <si>
    <t>Expenses</t>
  </si>
  <si>
    <t>Total Expenses</t>
  </si>
  <si>
    <t>System Size</t>
  </si>
  <si>
    <t>How much will a solar system cost?</t>
  </si>
  <si>
    <t>2 kW</t>
  </si>
  <si>
    <t>3 kW</t>
  </si>
  <si>
    <t>4 kW</t>
  </si>
  <si>
    <t>5 kW</t>
  </si>
  <si>
    <t>kWh</t>
  </si>
  <si>
    <t>What is your annual electricity use?</t>
  </si>
  <si>
    <t xml:space="preserve">Enter your annual electricity usage (default is 8,000 kWh)?  </t>
  </si>
  <si>
    <t>1 kW (~100 sqft of panels)</t>
  </si>
  <si>
    <t>Estimated Optimal Annual Generation (kWh)</t>
  </si>
  <si>
    <t>Percent of Average Customer Annual Usage</t>
  </si>
  <si>
    <t xml:space="preserve"> kW</t>
  </si>
  <si>
    <t>Yes</t>
  </si>
  <si>
    <t>No</t>
  </si>
  <si>
    <t>Pulls Data from Another Sheet</t>
  </si>
  <si>
    <t xml:space="preserve"> per kW</t>
  </si>
  <si>
    <t>Estimated total installed cost</t>
  </si>
  <si>
    <t>How do I estimate my rebate and system cost after rebate and tax credits?</t>
  </si>
  <si>
    <t>Total</t>
  </si>
  <si>
    <t>Net System Cost after rebate and $3,000 in federal and state tax incentives</t>
  </si>
  <si>
    <t>Estimated Rate of Return (assuming optimal production)</t>
  </si>
  <si>
    <t>What size system are you interested in? (default is 2.5 kW)</t>
  </si>
  <si>
    <t>How else can I save energy at my home?</t>
  </si>
  <si>
    <t>Do you think you qualify for the Moderate Home Value Adder?</t>
  </si>
  <si>
    <t xml:space="preserve">Percent of your Annual Usage </t>
  </si>
  <si>
    <t xml:space="preserve">    Years</t>
  </si>
  <si>
    <r>
      <t xml:space="preserve">Check out </t>
    </r>
    <r>
      <rPr>
        <i/>
        <sz val="10"/>
        <color indexed="12"/>
        <rFont val="Arial"/>
        <family val="2"/>
      </rPr>
      <t>www.masssave.com</t>
    </r>
    <r>
      <rPr>
        <i/>
        <sz val="10"/>
        <rFont val="Arial"/>
        <family val="2"/>
      </rPr>
      <t xml:space="preserve"> for more energy saving tips and rebates.</t>
    </r>
  </si>
  <si>
    <t>Estimated Simple Payback (assuming optimal production)</t>
  </si>
  <si>
    <t>Estimated Rate of Return</t>
  </si>
  <si>
    <t>How much will a typical solar system generate (assuming an optimal fixed south facing free from shading location)?</t>
  </si>
  <si>
    <t>Total Installed Cost</t>
  </si>
  <si>
    <t>Rebate</t>
  </si>
  <si>
    <t xml:space="preserve"> watts (w)</t>
  </si>
  <si>
    <t>How much will your system cost $/kW (default is $9,250 per kW)?</t>
  </si>
  <si>
    <t>How much do you think that the price of electricity will increase each year? (default is 5%)</t>
  </si>
  <si>
    <t>The following calculator is intended to provide residential customers with only a rough estimate of solar photovoltaic system sizing and pricing.  Customers should consult installers for more information.  Further disclaimer information is below.</t>
  </si>
  <si>
    <t>The average home in Massachusetts consumes about 8,000 kilowatt-hours per (kWh) year.  You can determine your annual electricity use by looking at your electricity bill and totaling the kWh that you use each month for a year.  Typically this information is located on the lower left corner of your electricity bill.</t>
  </si>
  <si>
    <t xml:space="preserve"> per watt</t>
  </si>
  <si>
    <t>Return to Calculator</t>
  </si>
  <si>
    <t>extra $.25/watt</t>
  </si>
  <si>
    <t>extra $1.25/watt</t>
  </si>
  <si>
    <t>extra $1.00/watt</t>
  </si>
  <si>
    <t>extra $2.00/watt</t>
  </si>
  <si>
    <t>Do you think you qualify for the Moderate Household Income Adder for &lt;=$91,552?</t>
  </si>
  <si>
    <t>The solar calculator is intended to provide residential customers considering the purchase and installation of solar energy equipment with a general understanding of possible financial implications of such purchase and installation.  Those interested in learning more about the financial implications of the purchase and installation of solar energy equipment are urged to consult their own tax and financial experts.  The information contained in this spreadsheet may not be relied on by anyone for any purposes.   Furthermore, the information contained in this model does not necessarily reflect the views of the Massachusetts Technology Collaborative or the Commonwealth of Massachusetts, and reference to any specific method does not constitute an implied or expressed recommendation or endorsement.  Neither the Massachusetts Technology Collaborative nor the Commonwealth of Massachusetts make any  warranties or representations, expressed or implied, as to the usefulness, completeness, or accuracy of any processes, methods or other information contained, described, disclosed, or referred to in this model.  Finally, neither the Massachusetts Technology Collaborative nor the Commonwealth of Massachusetts makes any representation that the use of any product, apparatus, process, method, or other information will not infringe on privately owned property rights and assumes no liability of any kind or nature for any loss, injury, or damage directly or indirectly resulting from, or occurring in connection with, the use of information contained, described, disclosed, or referred to in this Unofficial Cash Flow Model.</t>
  </si>
  <si>
    <r>
      <t xml:space="preserve">Typical rebates for residential customers cover between 20% and 50% of system costs depending on the characteristics of the household and project.  At a minimum, all eligible customers qualify for $2.00 per watt, or $2,000 per kilowatt.  In addition, residential customers may be eligible for up to $3,000 in federal and state tax incentives.  </t>
    </r>
    <r>
      <rPr>
        <b/>
        <i/>
        <sz val="10"/>
        <color indexed="10"/>
        <rFont val="Arial"/>
        <family val="2"/>
      </rPr>
      <t>Customers should consult with installers for more accurate cost estimates and information on rebate adders.  Customers may also consult the Section 3, page 6 of the Small Renewables Solicitation for more information on eligibility requirements for various rebate adders.  For details on assumptions behind this estimate, please consult the second sheet of this workbook.</t>
    </r>
  </si>
  <si>
    <t xml:space="preserve">Moderate Household Income </t>
  </si>
  <si>
    <t xml:space="preserve">Home Value Adder </t>
  </si>
  <si>
    <t>Do you think you qualify for the Moderate Household Income Adder for &lt;= $76,296?</t>
  </si>
  <si>
    <t>Moderate Income Adders (you can only qualify for one of the following Income Adders)</t>
  </si>
  <si>
    <t>Commonwealth Solar Residential Solar Photovoltaic Calculator</t>
  </si>
  <si>
    <t>Estimated Rebate (Size basis is capped at 5 kW for residential customers)</t>
  </si>
  <si>
    <t>Estimated Tax Incentives</t>
  </si>
  <si>
    <t>Residential Solar Photovoltaic Project Simple Financial Model (1/04/08)</t>
  </si>
  <si>
    <t>For more information on the adders, consult the Commonwealth Solar Handbook:</t>
  </si>
  <si>
    <t>http://www.masstech.org/solar</t>
  </si>
  <si>
    <t>The following table estimates how much of your electricity use can be offset by solar systems of different sizes.  It is important to note that while residential customers can apply for rebates for systems as large as they want, the maximum size that is used in the calculation of a residential rebate is 5 kilowatts (kW) or 5,000 watts (w).</t>
  </si>
  <si>
    <t xml:space="preserve">Typical residential systems cost about $9,250 per kWh installed.  Some systems cost less and others cost more depending upon equipment and installation variables.   Customers should consult installers for more accurate cost estimates. </t>
  </si>
  <si>
    <t>Disclaimer: This Unofficial Cash Flow Model is intended to provide residential entities that are considering the purchase and installation of solar energy equipment with a general understanding of possible financial implications of such purchase and installation.  Those entities interested in learning more about the financial implications of the purchase and installation of solar energy equipment are urged to consult their own tax and financial experts.  The information contained in the Unofficial Cash Flow Model may not be relied on by anyone for any purposes.   Furthermore, the information contained in this model does not necessarily reflect the views of the Massachusetts Technology Collaborative or the Commonwealth of Massachusetts, and reference to any specific method does not constitute an implied or expressed recommendation or endorsement of it.  Neither the Massachusetts Technology Collaborative nor the Commonwealth of Massachusetts make any warranties or representations, expressed or implied, as to the usefulness, completeness, or accuracy of any processes, methods or other information contained, described, disclosed, or referred to in this model. Finally, neither the Massachusetts Technology Collaborative nor the Commonwealth of Massachusetts makes any representation that the use of any product, apparatus, process, method, or other information will not infringe privately owned property rights and assumes no liability of any kind or nature for any loss, injury, or damage directly or indirectly resulting from, or occurring in connection with, the use of information contained, described, disclosed, or referred to in this Unofficial Cash Flow Model.</t>
  </si>
  <si>
    <t>Do you think you will be able to benefit from the Federal and State Solar Tax Incentives?</t>
  </si>
  <si>
    <t>MA Company Component Adder</t>
  </si>
  <si>
    <t>Will you qualify for the MA Company Component Adder?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</si>
</sst>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_);[Red]\(&quot;$&quot;#,##0.0\)"/>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_(&quot;$&quot;* #,##0.0_);_(&quot;$&quot;* \(#,##0.0\);_(&quot;$&quot;* &quot;-&quot;??_);_(@_)"/>
    <numFmt numFmtId="172" formatCode="_(&quot;$&quot;* #,##0_);_(&quot;$&quot;* \(#,##0\);_(&quot;$&quot;* &quot;-&quot;??_);_(@_)"/>
    <numFmt numFmtId="173" formatCode="&quot;$&quot;#,##0.0"/>
    <numFmt numFmtId="174" formatCode="&quot;$&quot;#,##0"/>
    <numFmt numFmtId="175" formatCode="_(* #,##0.0_);_(* \(#,##0.0\);_(* &quot;-&quot;??_);_(@_)"/>
    <numFmt numFmtId="176" formatCode="_(* #,##0_);_(* \(#,##0\);_(* &quot;-&quot;??_);_(@_)"/>
    <numFmt numFmtId="177" formatCode="_(* #,##0.0_);_(* \(#,##0.0\);_(* &quot;-&quot;?_);_(@_)"/>
    <numFmt numFmtId="178" formatCode="0.0"/>
    <numFmt numFmtId="179" formatCode="_(&quot;$&quot;* #,##0.000_);_(&quot;$&quot;* \(#,##0.000\);_(&quot;$&quot;* &quot;-&quot;??_);_(@_)"/>
    <numFmt numFmtId="180" formatCode="_(&quot;$&quot;* #,##0.0000_);_(&quot;$&quot;* \(#,##0.0000\);_(&quot;$&quot;* &quot;-&quot;??_);_(@_)"/>
    <numFmt numFmtId="181" formatCode="&quot;Year&quot;\ #"/>
  </numFmts>
  <fonts count="29">
    <font>
      <sz val="10"/>
      <name val="Arial"/>
      <family val="0"/>
    </font>
    <font>
      <b/>
      <sz val="12"/>
      <name val="Arial"/>
      <family val="2"/>
    </font>
    <font>
      <sz val="12"/>
      <name val="Arial"/>
      <family val="2"/>
    </font>
    <font>
      <sz val="12"/>
      <color indexed="8"/>
      <name val="Arial"/>
      <family val="2"/>
    </font>
    <font>
      <sz val="12"/>
      <color indexed="9"/>
      <name val="Arial"/>
      <family val="2"/>
    </font>
    <font>
      <u val="single"/>
      <sz val="10"/>
      <color indexed="12"/>
      <name val="Arial"/>
      <family val="0"/>
    </font>
    <font>
      <u val="single"/>
      <sz val="10"/>
      <color indexed="36"/>
      <name val="Arial"/>
      <family val="0"/>
    </font>
    <font>
      <b/>
      <sz val="16"/>
      <color indexed="10"/>
      <name val="Arial"/>
      <family val="2"/>
    </font>
    <font>
      <sz val="16"/>
      <name val="Arial"/>
      <family val="2"/>
    </font>
    <font>
      <sz val="12"/>
      <color indexed="55"/>
      <name val="Arial"/>
      <family val="2"/>
    </font>
    <font>
      <b/>
      <sz val="16"/>
      <color indexed="9"/>
      <name val="Arial"/>
      <family val="2"/>
    </font>
    <font>
      <b/>
      <sz val="20"/>
      <color indexed="9"/>
      <name val="Arial"/>
      <family val="2"/>
    </font>
    <font>
      <sz val="10"/>
      <color indexed="9"/>
      <name val="Arial"/>
      <family val="2"/>
    </font>
    <font>
      <b/>
      <sz val="12"/>
      <color indexed="8"/>
      <name val="Arial"/>
      <family val="2"/>
    </font>
    <font>
      <sz val="8"/>
      <name val="Arial"/>
      <family val="0"/>
    </font>
    <font>
      <b/>
      <sz val="10"/>
      <name val="Arial"/>
      <family val="2"/>
    </font>
    <font>
      <b/>
      <sz val="10"/>
      <color indexed="10"/>
      <name val="Arial"/>
      <family val="2"/>
    </font>
    <font>
      <i/>
      <sz val="10"/>
      <name val="Arial"/>
      <family val="2"/>
    </font>
    <font>
      <b/>
      <sz val="12"/>
      <color indexed="9"/>
      <name val="Arial"/>
      <family val="2"/>
    </font>
    <font>
      <b/>
      <sz val="10"/>
      <color indexed="9"/>
      <name val="Arial"/>
      <family val="2"/>
    </font>
    <font>
      <i/>
      <sz val="10"/>
      <color indexed="12"/>
      <name val="Arial"/>
      <family val="2"/>
    </font>
    <font>
      <b/>
      <i/>
      <sz val="10"/>
      <color indexed="10"/>
      <name val="Arial"/>
      <family val="2"/>
    </font>
    <font>
      <sz val="10"/>
      <color indexed="8"/>
      <name val="Arial"/>
      <family val="0"/>
    </font>
    <font>
      <b/>
      <sz val="12"/>
      <color indexed="10"/>
      <name val="Arial"/>
      <family val="2"/>
    </font>
    <font>
      <sz val="12"/>
      <color indexed="10"/>
      <name val="Arial"/>
      <family val="2"/>
    </font>
    <font>
      <b/>
      <sz val="10"/>
      <color indexed="8"/>
      <name val="Arial"/>
      <family val="0"/>
    </font>
    <font>
      <sz val="10"/>
      <color indexed="22"/>
      <name val="Arial"/>
      <family val="0"/>
    </font>
    <font>
      <sz val="10"/>
      <color indexed="23"/>
      <name val="Arial"/>
      <family val="0"/>
    </font>
    <font>
      <sz val="12"/>
      <color indexed="23"/>
      <name val="Arial"/>
      <family val="0"/>
    </font>
  </fonts>
  <fills count="8">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63"/>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s>
  <borders count="11">
    <border>
      <left/>
      <right/>
      <top/>
      <bottom/>
      <diagonal/>
    </border>
    <border>
      <left>
        <color indexed="63"/>
      </left>
      <right>
        <color indexed="63"/>
      </right>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6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Border="1" applyAlignment="1">
      <alignment/>
    </xf>
    <xf numFmtId="0" fontId="1" fillId="0" borderId="0" xfId="0" applyFont="1" applyAlignment="1">
      <alignment horizontal="center"/>
    </xf>
    <xf numFmtId="0" fontId="2" fillId="0" borderId="0" xfId="0" applyFont="1" applyFill="1" applyAlignment="1">
      <alignment/>
    </xf>
    <xf numFmtId="0" fontId="1" fillId="0" borderId="1" xfId="0" applyFont="1" applyBorder="1" applyAlignment="1">
      <alignment horizontal="left"/>
    </xf>
    <xf numFmtId="0" fontId="1" fillId="0" borderId="1" xfId="0" applyFont="1" applyBorder="1" applyAlignment="1">
      <alignment horizontal="center"/>
    </xf>
    <xf numFmtId="0" fontId="1" fillId="0" borderId="0" xfId="0" applyFont="1" applyBorder="1" applyAlignment="1">
      <alignment/>
    </xf>
    <xf numFmtId="172" fontId="2" fillId="0" borderId="0" xfId="17" applyNumberFormat="1" applyFont="1" applyAlignment="1">
      <alignment/>
    </xf>
    <xf numFmtId="172" fontId="2" fillId="0" borderId="0" xfId="17" applyNumberFormat="1" applyFont="1" applyBorder="1" applyAlignment="1">
      <alignment/>
    </xf>
    <xf numFmtId="172" fontId="2" fillId="0" borderId="1" xfId="17" applyNumberFormat="1" applyFont="1" applyBorder="1" applyAlignment="1">
      <alignment/>
    </xf>
    <xf numFmtId="172" fontId="3" fillId="0" borderId="0" xfId="17" applyNumberFormat="1" applyFont="1" applyBorder="1" applyAlignment="1">
      <alignment/>
    </xf>
    <xf numFmtId="0" fontId="3" fillId="0" borderId="0" xfId="0" applyFont="1" applyBorder="1" applyAlignment="1">
      <alignment/>
    </xf>
    <xf numFmtId="0" fontId="3" fillId="0" borderId="0" xfId="0" applyFont="1" applyAlignment="1">
      <alignment/>
    </xf>
    <xf numFmtId="170" fontId="3" fillId="0" borderId="0" xfId="21" applyNumberFormat="1" applyFont="1" applyBorder="1" applyAlignment="1">
      <alignment/>
    </xf>
    <xf numFmtId="0" fontId="3" fillId="0" borderId="0" xfId="17" applyNumberFormat="1" applyFont="1" applyFill="1" applyBorder="1" applyAlignment="1">
      <alignment/>
    </xf>
    <xf numFmtId="0" fontId="2" fillId="0" borderId="0" xfId="0" applyFont="1" applyAlignment="1">
      <alignment horizontal="left" indent="1"/>
    </xf>
    <xf numFmtId="0" fontId="2" fillId="0" borderId="0" xfId="0" applyFont="1" applyBorder="1" applyAlignment="1">
      <alignment horizontal="left" indent="1"/>
    </xf>
    <xf numFmtId="176" fontId="2" fillId="0" borderId="0" xfId="15" applyNumberFormat="1" applyFont="1" applyBorder="1" applyAlignment="1">
      <alignment/>
    </xf>
    <xf numFmtId="176" fontId="2" fillId="0" borderId="0" xfId="15" applyNumberFormat="1" applyFont="1" applyAlignment="1">
      <alignment/>
    </xf>
    <xf numFmtId="0" fontId="3" fillId="0" borderId="0" xfId="0" applyFont="1" applyFill="1" applyBorder="1" applyAlignment="1">
      <alignment/>
    </xf>
    <xf numFmtId="0" fontId="1" fillId="0" borderId="0" xfId="0" applyFont="1" applyFill="1" applyAlignment="1">
      <alignment/>
    </xf>
    <xf numFmtId="172" fontId="2" fillId="0" borderId="0" xfId="17" applyNumberFormat="1" applyFont="1" applyFill="1" applyAlignment="1">
      <alignment/>
    </xf>
    <xf numFmtId="172" fontId="2" fillId="0" borderId="1" xfId="17" applyNumberFormat="1" applyFont="1" applyFill="1" applyBorder="1" applyAlignment="1">
      <alignment/>
    </xf>
    <xf numFmtId="172" fontId="3" fillId="0" borderId="2" xfId="17" applyNumberFormat="1" applyFont="1" applyBorder="1" applyAlignment="1">
      <alignment/>
    </xf>
    <xf numFmtId="172" fontId="3" fillId="2" borderId="2" xfId="17" applyNumberFormat="1" applyFont="1" applyFill="1" applyBorder="1" applyAlignment="1">
      <alignment/>
    </xf>
    <xf numFmtId="0" fontId="4" fillId="0" borderId="0" xfId="0" applyFont="1" applyBorder="1" applyAlignment="1">
      <alignment/>
    </xf>
    <xf numFmtId="172" fontId="4" fillId="0" borderId="0" xfId="0" applyNumberFormat="1" applyFont="1" applyFill="1" applyAlignment="1">
      <alignment/>
    </xf>
    <xf numFmtId="0" fontId="2" fillId="0" borderId="0" xfId="0" applyFont="1" applyFill="1" applyBorder="1" applyAlignment="1">
      <alignment horizontal="left"/>
    </xf>
    <xf numFmtId="180" fontId="2" fillId="0" borderId="0" xfId="17" applyNumberFormat="1" applyFont="1" applyFill="1" applyAlignment="1">
      <alignment/>
    </xf>
    <xf numFmtId="44" fontId="2" fillId="0" borderId="0" xfId="17" applyFont="1" applyAlignment="1">
      <alignment/>
    </xf>
    <xf numFmtId="44" fontId="2" fillId="0" borderId="0" xfId="17" applyFont="1" applyFill="1" applyAlignment="1">
      <alignment/>
    </xf>
    <xf numFmtId="44" fontId="4" fillId="0" borderId="0" xfId="17" applyFont="1" applyFill="1" applyAlignment="1">
      <alignment/>
    </xf>
    <xf numFmtId="44" fontId="1" fillId="0" borderId="0" xfId="17" applyFont="1" applyAlignment="1">
      <alignment horizontal="center"/>
    </xf>
    <xf numFmtId="0" fontId="1" fillId="0" borderId="1" xfId="17" applyNumberFormat="1" applyFont="1" applyBorder="1" applyAlignment="1">
      <alignment horizontal="center"/>
    </xf>
    <xf numFmtId="0" fontId="2" fillId="0" borderId="0" xfId="0" applyFont="1" applyFill="1" applyBorder="1" applyAlignment="1">
      <alignment/>
    </xf>
    <xf numFmtId="172" fontId="1" fillId="0" borderId="0" xfId="17" applyNumberFormat="1" applyFont="1" applyAlignment="1">
      <alignment horizontal="center"/>
    </xf>
    <xf numFmtId="0" fontId="1" fillId="0" borderId="0" xfId="0" applyFont="1" applyFill="1" applyBorder="1" applyAlignment="1">
      <alignment/>
    </xf>
    <xf numFmtId="170" fontId="3" fillId="0" borderId="0" xfId="21" applyNumberFormat="1" applyFont="1" applyFill="1" applyBorder="1" applyAlignment="1">
      <alignment/>
    </xf>
    <xf numFmtId="10" fontId="3" fillId="0" borderId="0" xfId="21" applyNumberFormat="1" applyFont="1" applyFill="1" applyBorder="1" applyAlignment="1">
      <alignment/>
    </xf>
    <xf numFmtId="0" fontId="1" fillId="0" borderId="0" xfId="0" applyFont="1" applyBorder="1" applyAlignment="1">
      <alignment horizontal="left"/>
    </xf>
    <xf numFmtId="0" fontId="4" fillId="0" borderId="0" xfId="0" applyFont="1" applyBorder="1" applyAlignment="1">
      <alignment horizontal="right"/>
    </xf>
    <xf numFmtId="1" fontId="1" fillId="0" borderId="1" xfId="17" applyNumberFormat="1" applyFont="1" applyBorder="1" applyAlignment="1">
      <alignment horizontal="center"/>
    </xf>
    <xf numFmtId="0" fontId="2" fillId="0" borderId="0" xfId="0" applyFont="1" applyAlignment="1">
      <alignment horizontal="left"/>
    </xf>
    <xf numFmtId="172" fontId="9" fillId="0" borderId="0" xfId="17" applyNumberFormat="1" applyFont="1" applyBorder="1" applyAlignment="1">
      <alignment/>
    </xf>
    <xf numFmtId="172" fontId="2" fillId="0" borderId="0" xfId="0" applyNumberFormat="1" applyFont="1" applyAlignment="1">
      <alignment/>
    </xf>
    <xf numFmtId="0" fontId="1" fillId="0" borderId="0" xfId="0" applyFont="1" applyAlignment="1">
      <alignment horizontal="left"/>
    </xf>
    <xf numFmtId="172" fontId="1" fillId="0" borderId="0" xfId="17" applyNumberFormat="1" applyFont="1" applyBorder="1" applyAlignment="1">
      <alignment/>
    </xf>
    <xf numFmtId="0" fontId="10" fillId="3" borderId="0" xfId="0" applyFont="1" applyFill="1" applyAlignment="1">
      <alignment/>
    </xf>
    <xf numFmtId="172" fontId="2" fillId="3" borderId="0" xfId="17" applyNumberFormat="1" applyFont="1" applyFill="1" applyBorder="1" applyAlignment="1">
      <alignment/>
    </xf>
    <xf numFmtId="172" fontId="1" fillId="0" borderId="0" xfId="17" applyNumberFormat="1" applyFont="1" applyBorder="1" applyAlignment="1">
      <alignment horizontal="right"/>
    </xf>
    <xf numFmtId="0" fontId="1" fillId="0" borderId="0" xfId="0" applyFont="1" applyAlignment="1">
      <alignment horizontal="left" indent="1"/>
    </xf>
    <xf numFmtId="0" fontId="2" fillId="0" borderId="0" xfId="0" applyFont="1" applyFill="1" applyBorder="1" applyAlignment="1">
      <alignment horizontal="left" indent="1"/>
    </xf>
    <xf numFmtId="176" fontId="2" fillId="3" borderId="0" xfId="15" applyNumberFormat="1" applyFont="1" applyFill="1" applyBorder="1" applyAlignment="1">
      <alignment/>
    </xf>
    <xf numFmtId="176" fontId="2" fillId="3" borderId="0" xfId="15" applyNumberFormat="1" applyFont="1" applyFill="1" applyAlignment="1">
      <alignment/>
    </xf>
    <xf numFmtId="172" fontId="2" fillId="3" borderId="0" xfId="17" applyNumberFormat="1" applyFont="1" applyFill="1" applyAlignment="1">
      <alignment/>
    </xf>
    <xf numFmtId="172" fontId="9" fillId="0" borderId="0" xfId="17" applyNumberFormat="1" applyFont="1" applyBorder="1" applyAlignment="1">
      <alignment horizontal="center"/>
    </xf>
    <xf numFmtId="172" fontId="2" fillId="0" borderId="0" xfId="17" applyNumberFormat="1" applyFont="1" applyBorder="1" applyAlignment="1">
      <alignment horizontal="center"/>
    </xf>
    <xf numFmtId="172" fontId="1" fillId="0" borderId="0" xfId="17" applyNumberFormat="1" applyFont="1" applyBorder="1" applyAlignment="1">
      <alignment horizontal="center"/>
    </xf>
    <xf numFmtId="0" fontId="1" fillId="0" borderId="0" xfId="17" applyNumberFormat="1" applyFont="1" applyAlignment="1">
      <alignment horizontal="center"/>
    </xf>
    <xf numFmtId="0" fontId="3" fillId="0" borderId="2" xfId="17" applyNumberFormat="1" applyFont="1" applyFill="1" applyBorder="1" applyAlignment="1">
      <alignment/>
    </xf>
    <xf numFmtId="0" fontId="2" fillId="4" borderId="0" xfId="0" applyFont="1" applyFill="1" applyAlignment="1">
      <alignment/>
    </xf>
    <xf numFmtId="176" fontId="1" fillId="0" borderId="0" xfId="15" applyNumberFormat="1" applyFont="1" applyBorder="1" applyAlignment="1">
      <alignment/>
    </xf>
    <xf numFmtId="0" fontId="2" fillId="0" borderId="0" xfId="0" applyFont="1" applyFill="1" applyAlignment="1">
      <alignment horizontal="left" indent="1"/>
    </xf>
    <xf numFmtId="172" fontId="2" fillId="0" borderId="0" xfId="17" applyNumberFormat="1" applyFont="1" applyFill="1" applyBorder="1" applyAlignment="1">
      <alignment/>
    </xf>
    <xf numFmtId="172" fontId="1" fillId="0" borderId="0" xfId="17" applyNumberFormat="1" applyFont="1" applyFill="1" applyBorder="1" applyAlignment="1">
      <alignment/>
    </xf>
    <xf numFmtId="0" fontId="2" fillId="0" borderId="0" xfId="0" applyFont="1" applyFill="1" applyBorder="1" applyAlignment="1">
      <alignment horizontal="left" indent="2"/>
    </xf>
    <xf numFmtId="0" fontId="1" fillId="0" borderId="0" xfId="0" applyFont="1" applyFill="1" applyBorder="1" applyAlignment="1">
      <alignment horizontal="right"/>
    </xf>
    <xf numFmtId="0" fontId="1" fillId="0" borderId="0" xfId="0" applyFont="1" applyFill="1" applyBorder="1" applyAlignment="1">
      <alignment horizontal="left" indent="1"/>
    </xf>
    <xf numFmtId="0" fontId="3" fillId="5" borderId="2" xfId="17" applyNumberFormat="1" applyFont="1" applyFill="1" applyBorder="1" applyAlignment="1">
      <alignment/>
    </xf>
    <xf numFmtId="44" fontId="3" fillId="5" borderId="2" xfId="17" applyNumberFormat="1" applyFont="1" applyFill="1" applyBorder="1" applyAlignment="1">
      <alignment/>
    </xf>
    <xf numFmtId="170" fontId="3" fillId="5" borderId="2" xfId="21" applyNumberFormat="1" applyFont="1" applyFill="1" applyBorder="1" applyAlignment="1">
      <alignment/>
    </xf>
    <xf numFmtId="10" fontId="3" fillId="5" borderId="2" xfId="21" applyNumberFormat="1" applyFont="1" applyFill="1" applyBorder="1" applyAlignment="1">
      <alignment/>
    </xf>
    <xf numFmtId="170" fontId="3" fillId="5" borderId="2" xfId="17" applyNumberFormat="1" applyFont="1" applyFill="1" applyBorder="1" applyAlignment="1">
      <alignment/>
    </xf>
    <xf numFmtId="172" fontId="3" fillId="5" borderId="2" xfId="17" applyNumberFormat="1" applyFont="1" applyFill="1" applyBorder="1" applyAlignment="1">
      <alignment/>
    </xf>
    <xf numFmtId="44" fontId="3" fillId="5" borderId="2" xfId="17" applyFont="1" applyFill="1" applyBorder="1" applyAlignment="1">
      <alignment/>
    </xf>
    <xf numFmtId="9" fontId="3" fillId="5" borderId="2" xfId="21" applyFont="1" applyFill="1" applyBorder="1" applyAlignment="1">
      <alignment/>
    </xf>
    <xf numFmtId="172" fontId="3" fillId="5" borderId="2" xfId="17" applyNumberFormat="1" applyFont="1" applyFill="1" applyBorder="1" applyAlignment="1">
      <alignment horizontal="right"/>
    </xf>
    <xf numFmtId="0" fontId="1" fillId="6" borderId="3" xfId="0" applyFont="1" applyFill="1" applyBorder="1" applyAlignment="1">
      <alignment/>
    </xf>
    <xf numFmtId="0" fontId="2" fillId="6" borderId="4" xfId="0" applyFont="1" applyFill="1" applyBorder="1" applyAlignment="1">
      <alignment/>
    </xf>
    <xf numFmtId="0" fontId="2" fillId="6" borderId="5" xfId="0" applyFont="1" applyFill="1" applyBorder="1" applyAlignment="1">
      <alignment/>
    </xf>
    <xf numFmtId="0" fontId="2" fillId="6" borderId="6" xfId="0" applyFont="1" applyFill="1" applyBorder="1" applyAlignment="1">
      <alignment horizontal="left" indent="1"/>
    </xf>
    <xf numFmtId="0" fontId="2" fillId="6" borderId="0" xfId="0" applyFont="1" applyFill="1" applyBorder="1" applyAlignment="1">
      <alignment horizontal="right"/>
    </xf>
    <xf numFmtId="0" fontId="2" fillId="6" borderId="0" xfId="0" applyFont="1" applyFill="1" applyBorder="1" applyAlignment="1">
      <alignment/>
    </xf>
    <xf numFmtId="0" fontId="2" fillId="6" borderId="7" xfId="0" applyFont="1" applyFill="1" applyBorder="1" applyAlignment="1">
      <alignment/>
    </xf>
    <xf numFmtId="0" fontId="2" fillId="6" borderId="8" xfId="0" applyFont="1" applyFill="1" applyBorder="1" applyAlignment="1">
      <alignment/>
    </xf>
    <xf numFmtId="0" fontId="2" fillId="6" borderId="9" xfId="0" applyFont="1" applyFill="1" applyBorder="1" applyAlignment="1">
      <alignment/>
    </xf>
    <xf numFmtId="0" fontId="2" fillId="6" borderId="10" xfId="0" applyFont="1" applyFill="1" applyBorder="1" applyAlignment="1">
      <alignment/>
    </xf>
    <xf numFmtId="172" fontId="1" fillId="0" borderId="0" xfId="17" applyNumberFormat="1" applyFont="1" applyAlignment="1">
      <alignment/>
    </xf>
    <xf numFmtId="44" fontId="3" fillId="0" borderId="0" xfId="17" applyNumberFormat="1" applyFont="1" applyFill="1" applyBorder="1" applyAlignment="1">
      <alignment/>
    </xf>
    <xf numFmtId="181" fontId="1" fillId="0" borderId="0" xfId="0" applyNumberFormat="1" applyFont="1" applyFill="1" applyBorder="1" applyAlignment="1">
      <alignment horizontal="right"/>
    </xf>
    <xf numFmtId="0" fontId="2" fillId="0" borderId="0" xfId="0" applyFont="1" applyBorder="1" applyAlignment="1">
      <alignment horizontal="left" indent="3"/>
    </xf>
    <xf numFmtId="0" fontId="2" fillId="0" borderId="0" xfId="0" applyFont="1" applyFill="1" applyBorder="1" applyAlignment="1">
      <alignment horizontal="left" indent="3"/>
    </xf>
    <xf numFmtId="0" fontId="9" fillId="0" borderId="0" xfId="0" applyFont="1" applyBorder="1" applyAlignment="1">
      <alignment horizontal="left"/>
    </xf>
    <xf numFmtId="0" fontId="9" fillId="0" borderId="0" xfId="0" applyFont="1" applyBorder="1" applyAlignment="1">
      <alignment/>
    </xf>
    <xf numFmtId="0" fontId="1" fillId="0" borderId="0" xfId="0" applyFont="1" applyFill="1" applyBorder="1" applyAlignment="1">
      <alignment horizontal="left" indent="2"/>
    </xf>
    <xf numFmtId="0" fontId="13" fillId="0" borderId="0" xfId="0" applyFont="1" applyBorder="1" applyAlignment="1">
      <alignment horizontal="left" indent="1"/>
    </xf>
    <xf numFmtId="0" fontId="1" fillId="0" borderId="0" xfId="0" applyFont="1" applyBorder="1" applyAlignment="1">
      <alignment horizontal="right"/>
    </xf>
    <xf numFmtId="0" fontId="0" fillId="0" borderId="0" xfId="0" applyAlignment="1">
      <alignment wrapText="1"/>
    </xf>
    <xf numFmtId="0" fontId="15" fillId="0" borderId="0" xfId="0" applyFont="1" applyAlignment="1">
      <alignment/>
    </xf>
    <xf numFmtId="0" fontId="0" fillId="0" borderId="0" xfId="0" applyAlignment="1">
      <alignment horizontal="left" indent="1"/>
    </xf>
    <xf numFmtId="0" fontId="0" fillId="0" borderId="0" xfId="0" applyAlignment="1">
      <alignment horizontal="left" wrapText="1" indent="1"/>
    </xf>
    <xf numFmtId="0" fontId="0" fillId="5" borderId="2" xfId="0" applyFill="1" applyBorder="1" applyAlignment="1">
      <alignment/>
    </xf>
    <xf numFmtId="176" fontId="0" fillId="5" borderId="2" xfId="15" applyNumberFormat="1" applyFill="1" applyBorder="1" applyAlignment="1">
      <alignment/>
    </xf>
    <xf numFmtId="0" fontId="0" fillId="0" borderId="2" xfId="0" applyBorder="1" applyAlignment="1">
      <alignment horizontal="center"/>
    </xf>
    <xf numFmtId="9" fontId="0" fillId="0" borderId="2" xfId="21" applyBorder="1" applyAlignment="1">
      <alignment horizontal="center"/>
    </xf>
    <xf numFmtId="0" fontId="0" fillId="0" borderId="0" xfId="0" applyAlignment="1">
      <alignment horizontal="left"/>
    </xf>
    <xf numFmtId="0" fontId="15" fillId="0" borderId="2" xfId="0" applyFont="1" applyBorder="1" applyAlignment="1">
      <alignment horizontal="center" wrapText="1"/>
    </xf>
    <xf numFmtId="0" fontId="15" fillId="0" borderId="0" xfId="0" applyFont="1" applyAlignment="1">
      <alignment horizontal="left"/>
    </xf>
    <xf numFmtId="0" fontId="0" fillId="0" borderId="0" xfId="0" applyFont="1" applyFill="1" applyBorder="1" applyAlignment="1">
      <alignment horizontal="left"/>
    </xf>
    <xf numFmtId="0" fontId="0" fillId="5" borderId="2" xfId="0" applyFill="1" applyBorder="1" applyAlignment="1">
      <alignment horizontal="right"/>
    </xf>
    <xf numFmtId="0" fontId="0" fillId="0" borderId="0" xfId="0" applyAlignment="1">
      <alignment horizontal="right"/>
    </xf>
    <xf numFmtId="0" fontId="15" fillId="0" borderId="2" xfId="0" applyFont="1" applyBorder="1" applyAlignment="1">
      <alignment/>
    </xf>
    <xf numFmtId="176" fontId="3" fillId="7" borderId="2" xfId="15" applyNumberFormat="1" applyFont="1" applyFill="1" applyBorder="1" applyAlignment="1">
      <alignment/>
    </xf>
    <xf numFmtId="172" fontId="3" fillId="5" borderId="0" xfId="17" applyNumberFormat="1" applyFont="1" applyFill="1" applyBorder="1" applyAlignment="1">
      <alignment/>
    </xf>
    <xf numFmtId="0" fontId="3" fillId="7" borderId="2" xfId="17" applyNumberFormat="1" applyFont="1" applyFill="1" applyBorder="1" applyAlignment="1">
      <alignment/>
    </xf>
    <xf numFmtId="44" fontId="3" fillId="7" borderId="2" xfId="17" applyNumberFormat="1" applyFont="1" applyFill="1" applyBorder="1" applyAlignment="1">
      <alignment/>
    </xf>
    <xf numFmtId="6" fontId="0" fillId="5" borderId="2" xfId="0" applyNumberFormat="1" applyFill="1" applyBorder="1" applyAlignment="1">
      <alignment horizontal="right"/>
    </xf>
    <xf numFmtId="0" fontId="0" fillId="0" borderId="0" xfId="0" applyBorder="1" applyAlignment="1">
      <alignment/>
    </xf>
    <xf numFmtId="0" fontId="18" fillId="3" borderId="0" xfId="0" applyFont="1" applyFill="1" applyAlignment="1">
      <alignment/>
    </xf>
    <xf numFmtId="0" fontId="19" fillId="3" borderId="0" xfId="0" applyFont="1" applyFill="1" applyAlignment="1">
      <alignment/>
    </xf>
    <xf numFmtId="0" fontId="12" fillId="3" borderId="0" xfId="0" applyFont="1" applyFill="1" applyAlignment="1">
      <alignment/>
    </xf>
    <xf numFmtId="0" fontId="17" fillId="0" borderId="0" xfId="0" applyFont="1" applyAlignment="1">
      <alignment/>
    </xf>
    <xf numFmtId="6" fontId="15" fillId="0" borderId="2" xfId="0" applyNumberFormat="1" applyFont="1" applyBorder="1" applyAlignment="1">
      <alignment/>
    </xf>
    <xf numFmtId="0" fontId="15" fillId="0" borderId="0" xfId="0" applyFont="1" applyAlignment="1">
      <alignment horizontal="left" indent="1"/>
    </xf>
    <xf numFmtId="44" fontId="12" fillId="0" borderId="0" xfId="17" applyFont="1" applyAlignment="1">
      <alignment/>
    </xf>
    <xf numFmtId="44" fontId="0" fillId="0" borderId="2" xfId="0" applyNumberFormat="1" applyBorder="1" applyAlignment="1">
      <alignment/>
    </xf>
    <xf numFmtId="44" fontId="15" fillId="0" borderId="2" xfId="0" applyNumberFormat="1" applyFont="1" applyBorder="1" applyAlignment="1">
      <alignment/>
    </xf>
    <xf numFmtId="172" fontId="1" fillId="6" borderId="0" xfId="17" applyNumberFormat="1" applyFont="1" applyFill="1" applyBorder="1" applyAlignment="1">
      <alignment horizontal="left"/>
    </xf>
    <xf numFmtId="181" fontId="1" fillId="6" borderId="0" xfId="0" applyNumberFormat="1" applyFont="1" applyFill="1" applyBorder="1" applyAlignment="1">
      <alignment horizontal="right"/>
    </xf>
    <xf numFmtId="170" fontId="1" fillId="6" borderId="0" xfId="21" applyNumberFormat="1" applyFont="1" applyFill="1" applyBorder="1" applyAlignment="1">
      <alignment/>
    </xf>
    <xf numFmtId="170" fontId="15" fillId="0" borderId="2" xfId="21" applyNumberFormat="1" applyFont="1" applyBorder="1" applyAlignment="1">
      <alignment/>
    </xf>
    <xf numFmtId="0" fontId="12" fillId="0" borderId="0" xfId="0" applyFont="1" applyAlignment="1">
      <alignment/>
    </xf>
    <xf numFmtId="6" fontId="15" fillId="0" borderId="2" xfId="0" applyNumberFormat="1" applyFont="1" applyFill="1" applyBorder="1" applyAlignment="1">
      <alignment/>
    </xf>
    <xf numFmtId="172" fontId="0" fillId="0" borderId="2" xfId="17" applyNumberFormat="1" applyBorder="1" applyAlignment="1">
      <alignment/>
    </xf>
    <xf numFmtId="176" fontId="0" fillId="0" borderId="2" xfId="15" applyNumberFormat="1" applyFill="1" applyBorder="1" applyAlignment="1">
      <alignment/>
    </xf>
    <xf numFmtId="9" fontId="0" fillId="5" borderId="2" xfId="21" applyFill="1" applyBorder="1" applyAlignment="1">
      <alignment/>
    </xf>
    <xf numFmtId="170" fontId="3" fillId="7" borderId="2" xfId="17" applyNumberFormat="1" applyFont="1" applyFill="1" applyBorder="1" applyAlignment="1">
      <alignment/>
    </xf>
    <xf numFmtId="0" fontId="0" fillId="0" borderId="0" xfId="0" applyFont="1" applyAlignment="1">
      <alignment/>
    </xf>
    <xf numFmtId="44" fontId="22" fillId="0" borderId="0" xfId="17" applyFont="1" applyAlignment="1">
      <alignment horizontal="left" indent="1"/>
    </xf>
    <xf numFmtId="44" fontId="12" fillId="0" borderId="0" xfId="17" applyFont="1" applyAlignment="1">
      <alignment horizontal="left" indent="1"/>
    </xf>
    <xf numFmtId="0" fontId="23" fillId="0" borderId="0" xfId="0" applyFont="1" applyAlignment="1">
      <alignment/>
    </xf>
    <xf numFmtId="0" fontId="24" fillId="0" borderId="0" xfId="0" applyFont="1" applyAlignment="1">
      <alignment/>
    </xf>
    <xf numFmtId="0" fontId="5" fillId="0" borderId="0" xfId="20" applyAlignment="1">
      <alignment/>
    </xf>
    <xf numFmtId="0" fontId="22" fillId="0" borderId="0" xfId="0" applyFont="1" applyAlignment="1">
      <alignment/>
    </xf>
    <xf numFmtId="0" fontId="0" fillId="0" borderId="0" xfId="0" applyNumberFormat="1" applyAlignment="1">
      <alignment wrapText="1"/>
    </xf>
    <xf numFmtId="0" fontId="0" fillId="5" borderId="2" xfId="0" applyNumberFormat="1" applyFill="1" applyBorder="1" applyAlignment="1">
      <alignment horizontal="right" wrapText="1"/>
    </xf>
    <xf numFmtId="0" fontId="22" fillId="0" borderId="0" xfId="0" applyNumberFormat="1" applyFont="1" applyAlignment="1">
      <alignment wrapText="1"/>
    </xf>
    <xf numFmtId="44" fontId="22" fillId="0" borderId="0" xfId="17" applyNumberFormat="1" applyFont="1" applyAlignment="1">
      <alignment horizontal="left" wrapText="1" indent="1"/>
    </xf>
    <xf numFmtId="0" fontId="25" fillId="0" borderId="0" xfId="0" applyFont="1" applyAlignment="1">
      <alignment/>
    </xf>
    <xf numFmtId="0" fontId="26" fillId="0" borderId="0" xfId="0" applyFont="1" applyAlignment="1">
      <alignment/>
    </xf>
    <xf numFmtId="0" fontId="27" fillId="0" borderId="0" xfId="0" applyFont="1" applyAlignment="1">
      <alignment/>
    </xf>
    <xf numFmtId="0" fontId="28" fillId="0" borderId="0" xfId="0" applyFont="1" applyAlignment="1">
      <alignment/>
    </xf>
    <xf numFmtId="0" fontId="12" fillId="0" borderId="0" xfId="0" applyNumberFormat="1" applyFont="1" applyAlignment="1">
      <alignment wrapText="1"/>
    </xf>
    <xf numFmtId="0" fontId="0" fillId="0" borderId="0" xfId="0" applyAlignment="1">
      <alignment horizontal="left" indent="2"/>
    </xf>
    <xf numFmtId="0" fontId="5" fillId="0" borderId="0" xfId="20" applyAlignment="1">
      <alignment horizontal="left" indent="1"/>
    </xf>
    <xf numFmtId="0" fontId="17" fillId="0" borderId="0" xfId="0" applyFont="1" applyAlignment="1">
      <alignment wrapText="1"/>
    </xf>
    <xf numFmtId="0" fontId="16" fillId="0" borderId="0" xfId="0" applyFont="1" applyAlignment="1">
      <alignment horizontal="left" vertical="top" wrapText="1"/>
    </xf>
    <xf numFmtId="0" fontId="15" fillId="0" borderId="0" xfId="0" applyFont="1" applyAlignment="1">
      <alignment horizontal="left" vertical="top"/>
    </xf>
    <xf numFmtId="0" fontId="17" fillId="0" borderId="0" xfId="0" applyFont="1" applyAlignment="1">
      <alignment horizontal="left" wrapText="1"/>
    </xf>
    <xf numFmtId="0" fontId="7" fillId="0" borderId="0" xfId="0" applyFont="1" applyFill="1" applyAlignment="1">
      <alignment wrapText="1"/>
    </xf>
    <xf numFmtId="0" fontId="8" fillId="0" borderId="0" xfId="0" applyFont="1" applyAlignment="1">
      <alignment wrapText="1"/>
    </xf>
    <xf numFmtId="0" fontId="11" fillId="4" borderId="0" xfId="0" applyFont="1" applyFill="1" applyAlignment="1">
      <alignment horizontal="left"/>
    </xf>
    <xf numFmtId="0" fontId="12" fillId="4" borderId="0" xfId="0"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14</xdr:row>
      <xdr:rowOff>95250</xdr:rowOff>
    </xdr:from>
    <xdr:to>
      <xdr:col>9</xdr:col>
      <xdr:colOff>333375</xdr:colOff>
      <xdr:row>29</xdr:row>
      <xdr:rowOff>95250</xdr:rowOff>
    </xdr:to>
    <xdr:pic>
      <xdr:nvPicPr>
        <xdr:cNvPr id="1" name="Picture 1"/>
        <xdr:cNvPicPr preferRelativeResize="1">
          <a:picLocks noChangeAspect="1"/>
        </xdr:cNvPicPr>
      </xdr:nvPicPr>
      <xdr:blipFill>
        <a:blip r:embed="rId1"/>
        <a:stretch>
          <a:fillRect/>
        </a:stretch>
      </xdr:blipFill>
      <xdr:spPr>
        <a:xfrm>
          <a:off x="161925" y="2438400"/>
          <a:ext cx="5657850" cy="2428875"/>
        </a:xfrm>
        <a:prstGeom prst="rect">
          <a:avLst/>
        </a:prstGeom>
        <a:noFill/>
        <a:ln w="9525" cmpd="sng">
          <a:noFill/>
        </a:ln>
      </xdr:spPr>
    </xdr:pic>
    <xdr:clientData/>
  </xdr:twoCellAnchor>
  <xdr:twoCellAnchor editAs="oneCell">
    <xdr:from>
      <xdr:col>0</xdr:col>
      <xdr:colOff>209550</xdr:colOff>
      <xdr:row>32</xdr:row>
      <xdr:rowOff>142875</xdr:rowOff>
    </xdr:from>
    <xdr:to>
      <xdr:col>9</xdr:col>
      <xdr:colOff>85725</xdr:colOff>
      <xdr:row>52</xdr:row>
      <xdr:rowOff>85725</xdr:rowOff>
    </xdr:to>
    <xdr:pic>
      <xdr:nvPicPr>
        <xdr:cNvPr id="2" name="Picture 8"/>
        <xdr:cNvPicPr preferRelativeResize="1">
          <a:picLocks noChangeAspect="1"/>
        </xdr:cNvPicPr>
      </xdr:nvPicPr>
      <xdr:blipFill>
        <a:blip r:embed="rId2"/>
        <a:stretch>
          <a:fillRect/>
        </a:stretch>
      </xdr:blipFill>
      <xdr:spPr>
        <a:xfrm>
          <a:off x="209550" y="5438775"/>
          <a:ext cx="5362575" cy="5400675"/>
        </a:xfrm>
        <a:prstGeom prst="rect">
          <a:avLst/>
        </a:prstGeom>
        <a:noFill/>
        <a:ln w="9525" cmpd="sng">
          <a:noFill/>
        </a:ln>
      </xdr:spPr>
    </xdr:pic>
    <xdr:clientData/>
  </xdr:twoCellAnchor>
  <xdr:twoCellAnchor editAs="oneCell">
    <xdr:from>
      <xdr:col>0</xdr:col>
      <xdr:colOff>47625</xdr:colOff>
      <xdr:row>1</xdr:row>
      <xdr:rowOff>133350</xdr:rowOff>
    </xdr:from>
    <xdr:to>
      <xdr:col>10</xdr:col>
      <xdr:colOff>180975</xdr:colOff>
      <xdr:row>12</xdr:row>
      <xdr:rowOff>95250</xdr:rowOff>
    </xdr:to>
    <xdr:pic>
      <xdr:nvPicPr>
        <xdr:cNvPr id="3" name="Picture 10"/>
        <xdr:cNvPicPr preferRelativeResize="1">
          <a:picLocks noChangeAspect="1"/>
        </xdr:cNvPicPr>
      </xdr:nvPicPr>
      <xdr:blipFill>
        <a:blip r:embed="rId3"/>
        <a:stretch>
          <a:fillRect/>
        </a:stretch>
      </xdr:blipFill>
      <xdr:spPr>
        <a:xfrm>
          <a:off x="47625" y="333375"/>
          <a:ext cx="6229350"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masstech.org/solar"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65"/>
  <sheetViews>
    <sheetView showGridLines="0" tabSelected="1" view="pageBreakPreview" zoomScale="90" zoomScaleSheetLayoutView="90" workbookViewId="0" topLeftCell="A1">
      <selection activeCell="E41" sqref="E41"/>
    </sheetView>
  </sheetViews>
  <sheetFormatPr defaultColWidth="9.140625" defaultRowHeight="12.75"/>
  <cols>
    <col min="1" max="1" width="2.8515625" style="0" customWidth="1"/>
    <col min="2" max="2" width="85.00390625" style="0" customWidth="1"/>
    <col min="3" max="3" width="16.28125" style="0" customWidth="1"/>
    <col min="4" max="4" width="18.28125" style="0" customWidth="1"/>
    <col min="5" max="5" width="16.28125" style="0" customWidth="1"/>
    <col min="6" max="6" width="2.8515625" style="0" customWidth="1"/>
  </cols>
  <sheetData>
    <row r="1" spans="1:6" ht="15.75">
      <c r="A1" s="120" t="s">
        <v>130</v>
      </c>
      <c r="B1" s="121"/>
      <c r="C1" s="122"/>
      <c r="D1" s="122"/>
      <c r="E1" s="122"/>
      <c r="F1" s="122"/>
    </row>
    <row r="2" spans="2:5" s="139" customFormat="1" ht="30" customHeight="1">
      <c r="B2" s="157" t="s">
        <v>115</v>
      </c>
      <c r="C2" s="157"/>
      <c r="D2" s="157"/>
      <c r="E2" s="157"/>
    </row>
    <row r="3" ht="12.75" customHeight="1"/>
    <row r="4" spans="1:3" s="2" customFormat="1" ht="12.75" customHeight="1">
      <c r="A4" s="38" t="s">
        <v>52</v>
      </c>
      <c r="B4" s="38"/>
      <c r="C4" s="16"/>
    </row>
    <row r="5" spans="2:3" ht="12.75" customHeight="1">
      <c r="B5" s="110" t="s">
        <v>53</v>
      </c>
      <c r="C5" s="70"/>
    </row>
    <row r="6" spans="2:3" ht="12.75" customHeight="1">
      <c r="B6" s="110" t="s">
        <v>54</v>
      </c>
      <c r="C6" s="61"/>
    </row>
    <row r="7" ht="12.75" customHeight="1"/>
    <row r="8" spans="1:2" s="2" customFormat="1" ht="12.75" customHeight="1">
      <c r="A8" s="1" t="s">
        <v>86</v>
      </c>
      <c r="B8" s="1"/>
    </row>
    <row r="9" spans="2:5" ht="40.5" customHeight="1">
      <c r="B9" s="160" t="s">
        <v>116</v>
      </c>
      <c r="C9" s="160"/>
      <c r="D9" s="160"/>
      <c r="E9" s="160"/>
    </row>
    <row r="10" spans="2:5" ht="12" customHeight="1">
      <c r="B10" s="102"/>
      <c r="C10" s="102"/>
      <c r="D10" s="102"/>
      <c r="E10" s="102"/>
    </row>
    <row r="11" spans="2:4" ht="12.75">
      <c r="B11" s="107" t="s">
        <v>87</v>
      </c>
      <c r="C11" s="104">
        <v>8000</v>
      </c>
      <c r="D11" t="s">
        <v>85</v>
      </c>
    </row>
    <row r="13" spans="1:2" s="2" customFormat="1" ht="15.75">
      <c r="A13" s="1" t="s">
        <v>109</v>
      </c>
      <c r="B13" s="1"/>
    </row>
    <row r="14" spans="2:5" ht="39.75" customHeight="1">
      <c r="B14" s="157" t="s">
        <v>136</v>
      </c>
      <c r="C14" s="157"/>
      <c r="D14" s="157"/>
      <c r="E14" s="157"/>
    </row>
    <row r="16" spans="2:5" s="99" customFormat="1" ht="51">
      <c r="B16" s="108" t="s">
        <v>79</v>
      </c>
      <c r="C16" s="108" t="s">
        <v>89</v>
      </c>
      <c r="D16" s="108" t="s">
        <v>104</v>
      </c>
      <c r="E16" s="108" t="s">
        <v>90</v>
      </c>
    </row>
    <row r="17" spans="2:5" ht="12.75">
      <c r="B17" s="105" t="s">
        <v>88</v>
      </c>
      <c r="C17" s="105">
        <v>1200</v>
      </c>
      <c r="D17" s="106">
        <f>C17/$C$11</f>
        <v>0.15</v>
      </c>
      <c r="E17" s="106">
        <f>C17/8000</f>
        <v>0.15</v>
      </c>
    </row>
    <row r="18" spans="2:5" ht="12.75">
      <c r="B18" s="105" t="s">
        <v>81</v>
      </c>
      <c r="C18" s="105">
        <f>C17*2</f>
        <v>2400</v>
      </c>
      <c r="D18" s="106">
        <f>C18/$C$11</f>
        <v>0.3</v>
      </c>
      <c r="E18" s="106">
        <f>C18/8000</f>
        <v>0.3</v>
      </c>
    </row>
    <row r="19" spans="2:5" ht="12.75">
      <c r="B19" s="105" t="s">
        <v>82</v>
      </c>
      <c r="C19" s="105">
        <f>C17*3</f>
        <v>3600</v>
      </c>
      <c r="D19" s="106">
        <f>C19/$C$11</f>
        <v>0.45</v>
      </c>
      <c r="E19" s="106">
        <f>C19/8000</f>
        <v>0.45</v>
      </c>
    </row>
    <row r="20" spans="2:5" ht="12.75">
      <c r="B20" s="105" t="s">
        <v>83</v>
      </c>
      <c r="C20" s="105">
        <f>C17*4</f>
        <v>4800</v>
      </c>
      <c r="D20" s="106">
        <f>C20/$C$11</f>
        <v>0.6</v>
      </c>
      <c r="E20" s="106">
        <f>C20/8000</f>
        <v>0.6</v>
      </c>
    </row>
    <row r="21" spans="2:5" ht="12.75">
      <c r="B21" s="105" t="s">
        <v>84</v>
      </c>
      <c r="C21" s="105">
        <f>C17*5</f>
        <v>6000</v>
      </c>
      <c r="D21" s="106">
        <f>C21/$C$11</f>
        <v>0.75</v>
      </c>
      <c r="E21" s="106">
        <f>C21/8000</f>
        <v>0.75</v>
      </c>
    </row>
    <row r="23" spans="1:2" s="2" customFormat="1" ht="15.75">
      <c r="A23" s="47" t="s">
        <v>80</v>
      </c>
      <c r="B23" s="47"/>
    </row>
    <row r="24" spans="1:5" ht="27.75" customHeight="1">
      <c r="A24" s="109"/>
      <c r="B24" s="160" t="s">
        <v>137</v>
      </c>
      <c r="C24" s="157"/>
      <c r="D24" s="157"/>
      <c r="E24" s="157"/>
    </row>
    <row r="25" spans="1:2" ht="12.75">
      <c r="A25" s="109"/>
      <c r="B25" s="109"/>
    </row>
    <row r="26" spans="2:4" ht="12.75">
      <c r="B26" t="s">
        <v>101</v>
      </c>
      <c r="C26" s="103">
        <v>5.4</v>
      </c>
      <c r="D26" t="s">
        <v>91</v>
      </c>
    </row>
    <row r="27" spans="3:4" ht="12.75">
      <c r="C27" s="136">
        <f>C26*1000</f>
        <v>5400</v>
      </c>
      <c r="D27" t="s">
        <v>112</v>
      </c>
    </row>
    <row r="29" spans="2:4" ht="12.75">
      <c r="B29" t="s">
        <v>113</v>
      </c>
      <c r="C29" s="118">
        <v>9250</v>
      </c>
      <c r="D29" t="s">
        <v>95</v>
      </c>
    </row>
    <row r="31" spans="2:3" ht="12.75">
      <c r="B31" s="100" t="s">
        <v>96</v>
      </c>
      <c r="C31" s="134">
        <f>C29*C26</f>
        <v>49950</v>
      </c>
    </row>
    <row r="32" ht="12.75">
      <c r="G32" s="152"/>
    </row>
    <row r="33" spans="1:7" s="2" customFormat="1" ht="15.75">
      <c r="A33" s="1" t="s">
        <v>97</v>
      </c>
      <c r="G33" s="153"/>
    </row>
    <row r="34" spans="2:7" ht="66.75" customHeight="1">
      <c r="B34" s="160" t="s">
        <v>125</v>
      </c>
      <c r="C34" s="157"/>
      <c r="D34" s="157"/>
      <c r="E34" s="157"/>
      <c r="G34" s="151"/>
    </row>
    <row r="35" spans="4:7" ht="12.75">
      <c r="D35" s="126">
        <v>2</v>
      </c>
      <c r="E35" s="126">
        <v>2</v>
      </c>
      <c r="G35" s="151"/>
    </row>
    <row r="36" spans="2:7" ht="12.75">
      <c r="B36" s="156" t="s">
        <v>141</v>
      </c>
      <c r="C36" s="111" t="s">
        <v>93</v>
      </c>
      <c r="D36" s="140" t="s">
        <v>119</v>
      </c>
      <c r="E36" s="126">
        <f>IF(C36="No",0,0.25)</f>
        <v>0</v>
      </c>
      <c r="G36" s="151" t="s">
        <v>92</v>
      </c>
    </row>
    <row r="37" spans="3:7" ht="12.75">
      <c r="C37" s="112"/>
      <c r="D37" s="141"/>
      <c r="E37" s="126"/>
      <c r="G37" s="151" t="s">
        <v>93</v>
      </c>
    </row>
    <row r="38" spans="2:7" ht="12.75">
      <c r="B38" s="156" t="s">
        <v>103</v>
      </c>
      <c r="C38" s="111" t="s">
        <v>93</v>
      </c>
      <c r="D38" s="140" t="s">
        <v>120</v>
      </c>
      <c r="E38" s="126">
        <f>IF(C38="No",0,1.25)</f>
        <v>0</v>
      </c>
      <c r="G38" s="151"/>
    </row>
    <row r="39" spans="3:7" ht="12.75">
      <c r="C39" s="112"/>
      <c r="D39" s="141"/>
      <c r="E39" s="126"/>
      <c r="G39" s="151"/>
    </row>
    <row r="40" spans="2:7" ht="12.75">
      <c r="B40" s="125" t="s">
        <v>129</v>
      </c>
      <c r="C40" s="112"/>
      <c r="D40" s="141"/>
      <c r="E40" s="126"/>
      <c r="G40" s="133"/>
    </row>
    <row r="41" spans="2:7" ht="12.75">
      <c r="B41" s="101"/>
      <c r="C41" s="112"/>
      <c r="D41" s="141"/>
      <c r="E41" s="126"/>
      <c r="G41" s="133"/>
    </row>
    <row r="42" spans="2:7" ht="12.75">
      <c r="B42" s="156" t="s">
        <v>123</v>
      </c>
      <c r="C42" s="111" t="s">
        <v>93</v>
      </c>
      <c r="D42" s="140" t="s">
        <v>121</v>
      </c>
      <c r="E42" s="126">
        <f>IF(C42="No",0,1)</f>
        <v>0</v>
      </c>
      <c r="F42" s="145"/>
      <c r="G42" s="133"/>
    </row>
    <row r="43" spans="2:7" ht="12.75">
      <c r="B43" s="155"/>
      <c r="C43" s="112"/>
      <c r="D43" s="140"/>
      <c r="E43" s="126"/>
      <c r="F43" s="145"/>
      <c r="G43" s="133"/>
    </row>
    <row r="44" spans="2:7" s="146" customFormat="1" ht="12" customHeight="1">
      <c r="B44" s="156" t="s">
        <v>128</v>
      </c>
      <c r="C44" s="147" t="s">
        <v>93</v>
      </c>
      <c r="D44" s="149" t="s">
        <v>122</v>
      </c>
      <c r="E44" s="126">
        <f>IF(C44="No",0,2)</f>
        <v>0</v>
      </c>
      <c r="F44" s="148"/>
      <c r="G44" s="154"/>
    </row>
    <row r="45" spans="3:7" ht="12.75">
      <c r="C45" s="112"/>
      <c r="D45" s="141"/>
      <c r="E45" s="126"/>
      <c r="G45" s="133"/>
    </row>
    <row r="46" spans="2:5" ht="12.75">
      <c r="B46" s="101" t="s">
        <v>139</v>
      </c>
      <c r="C46" s="111" t="s">
        <v>92</v>
      </c>
      <c r="E46" s="145"/>
    </row>
    <row r="47" spans="2:5" ht="12.75">
      <c r="B47" s="101"/>
      <c r="E47" s="145"/>
    </row>
    <row r="48" spans="2:5" ht="12.75">
      <c r="B48" s="100" t="s">
        <v>131</v>
      </c>
      <c r="C48" s="128">
        <f>IF(C26&lt;=5,C49*C26*1000,5000*C49)</f>
        <v>10000</v>
      </c>
      <c r="D48" s="125" t="s">
        <v>98</v>
      </c>
      <c r="E48" s="145"/>
    </row>
    <row r="49" spans="3:5" ht="12.75">
      <c r="C49" s="127">
        <f>SUM(E35:E45)</f>
        <v>2</v>
      </c>
      <c r="D49" s="101" t="s">
        <v>117</v>
      </c>
      <c r="E49" s="145"/>
    </row>
    <row r="50" spans="3:5" ht="12.75">
      <c r="C50" s="119"/>
      <c r="D50" s="101"/>
      <c r="E50" s="145"/>
    </row>
    <row r="51" spans="2:5" ht="12.75">
      <c r="B51" s="112" t="s">
        <v>110</v>
      </c>
      <c r="C51" s="135">
        <f>C31</f>
        <v>49950</v>
      </c>
      <c r="D51" s="101"/>
      <c r="E51" s="145"/>
    </row>
    <row r="52" spans="2:5" ht="12.75">
      <c r="B52" s="112" t="s">
        <v>111</v>
      </c>
      <c r="C52" s="135">
        <f>C48</f>
        <v>10000</v>
      </c>
      <c r="D52" s="101"/>
      <c r="E52" s="145"/>
    </row>
    <row r="53" spans="2:5" ht="12.75">
      <c r="B53" s="112" t="s">
        <v>132</v>
      </c>
      <c r="C53" s="135">
        <f>IF(C46="Yes",3000,0)</f>
        <v>3000</v>
      </c>
      <c r="D53" s="101"/>
      <c r="E53" s="145"/>
    </row>
    <row r="54" spans="2:5" s="100" customFormat="1" ht="12.75">
      <c r="B54" s="100" t="s">
        <v>99</v>
      </c>
      <c r="C54" s="124">
        <f>C31-C48-3000</f>
        <v>36950</v>
      </c>
      <c r="D54" s="125"/>
      <c r="E54" s="150"/>
    </row>
    <row r="56" spans="2:3" ht="12.75">
      <c r="B56" t="s">
        <v>114</v>
      </c>
      <c r="C56" s="137">
        <v>0.05</v>
      </c>
    </row>
    <row r="58" spans="2:4" s="100" customFormat="1" ht="12.75">
      <c r="B58" s="100" t="s">
        <v>107</v>
      </c>
      <c r="C58" s="113">
        <f>'Simple Solar Finance Model'!K18</f>
        <v>20</v>
      </c>
      <c r="D58" s="100" t="s">
        <v>105</v>
      </c>
    </row>
    <row r="60" spans="2:3" ht="12.75">
      <c r="B60" s="100" t="s">
        <v>100</v>
      </c>
      <c r="C60" s="132">
        <f>'Simple Solar Finance Model'!K19</f>
        <v>0.03211041682771678</v>
      </c>
    </row>
    <row r="62" ht="15.75">
      <c r="A62" s="1" t="s">
        <v>102</v>
      </c>
    </row>
    <row r="63" ht="12.75">
      <c r="B63" s="123" t="s">
        <v>106</v>
      </c>
    </row>
    <row r="65" spans="1:5" ht="118.5" customHeight="1">
      <c r="A65" s="158" t="s">
        <v>124</v>
      </c>
      <c r="B65" s="159"/>
      <c r="C65" s="159"/>
      <c r="D65" s="159"/>
      <c r="E65" s="159"/>
    </row>
  </sheetData>
  <mergeCells count="6">
    <mergeCell ref="B2:E2"/>
    <mergeCell ref="A65:E65"/>
    <mergeCell ref="B34:E34"/>
    <mergeCell ref="B9:E9"/>
    <mergeCell ref="B14:E14"/>
    <mergeCell ref="B24:E24"/>
  </mergeCells>
  <dataValidations count="1">
    <dataValidation type="list" allowBlank="1" showInputMessage="1" showErrorMessage="1" sqref="C36 C46 C44 C42 C38">
      <formula1>$G$36:$G$37</formula1>
    </dataValidation>
  </dataValidations>
  <hyperlinks>
    <hyperlink ref="B38" location="'Adder Information'!A1" display="Do you think you qualify for the Moderate Home Value Adder?"/>
    <hyperlink ref="B42" location="'Adder Information'!A1" display="Do you think you qualify for the Moderate Household Income Adder for &lt;=$91,552?"/>
    <hyperlink ref="B44" location="'Adder Information'!A1" display="Do you think you qualify for the Moderate Household Income Adder for &lt;= $76,296?"/>
    <hyperlink ref="B36" location="'Adder Information'!A1" display="Will you qualify for the MA Company Component Adder?"/>
  </hyperlinks>
  <printOptions/>
  <pageMargins left="0.5" right="0.37" top="0.5" bottom="0.47" header="0.5" footer="0.5"/>
  <pageSetup fitToHeight="2" horizontalDpi="600" verticalDpi="600" orientation="landscape" scale="93" r:id="rId1"/>
  <headerFooter alignWithMargins="0">
    <oddFooter>&amp;C&amp;P</oddFooter>
  </headerFooter>
  <rowBreaks count="1" manualBreakCount="1">
    <brk id="32" max="5" man="1"/>
  </rowBreaks>
</worksheet>
</file>

<file path=xl/worksheets/sheet2.xml><?xml version="1.0" encoding="utf-8"?>
<worksheet xmlns="http://schemas.openxmlformats.org/spreadsheetml/2006/main" xmlns:r="http://schemas.openxmlformats.org/officeDocument/2006/relationships">
  <dimension ref="A1:AG76"/>
  <sheetViews>
    <sheetView showGridLines="0" view="pageBreakPreview" zoomScale="60" zoomScaleNormal="50" workbookViewId="0" topLeftCell="A46">
      <selection activeCell="E15" sqref="E15"/>
    </sheetView>
  </sheetViews>
  <sheetFormatPr defaultColWidth="9.140625" defaultRowHeight="12.75"/>
  <cols>
    <col min="1" max="1" width="55.7109375" style="2" customWidth="1"/>
    <col min="2" max="2" width="15.421875" style="9" customWidth="1"/>
    <col min="3" max="3" width="15.421875" style="2" customWidth="1"/>
    <col min="4" max="6" width="19.140625" style="2" customWidth="1"/>
    <col min="7" max="18" width="14.140625" style="2" customWidth="1"/>
    <col min="19" max="19" width="14.140625" style="31" customWidth="1"/>
    <col min="20" max="33" width="14.140625" style="2" customWidth="1"/>
    <col min="34" max="16384" width="9.140625" style="2" customWidth="1"/>
  </cols>
  <sheetData>
    <row r="1" spans="1:23" s="62" customFormat="1" ht="26.25">
      <c r="A1" s="163" t="s">
        <v>133</v>
      </c>
      <c r="B1" s="163"/>
      <c r="C1" s="163"/>
      <c r="D1" s="163"/>
      <c r="E1" s="163"/>
      <c r="F1" s="163"/>
      <c r="G1" s="163"/>
      <c r="H1" s="163"/>
      <c r="I1" s="163"/>
      <c r="J1" s="163"/>
      <c r="K1" s="163"/>
      <c r="L1" s="163"/>
      <c r="M1" s="163"/>
      <c r="N1" s="164"/>
      <c r="O1" s="164"/>
      <c r="P1" s="164"/>
      <c r="Q1" s="164"/>
      <c r="R1" s="164"/>
      <c r="S1" s="164"/>
      <c r="T1" s="164"/>
      <c r="U1" s="164"/>
      <c r="V1" s="164"/>
      <c r="W1" s="164"/>
    </row>
    <row r="2" spans="1:23" s="62" customFormat="1" ht="26.25">
      <c r="A2" s="163" t="s">
        <v>63</v>
      </c>
      <c r="B2" s="163"/>
      <c r="C2" s="163"/>
      <c r="D2" s="163"/>
      <c r="E2" s="163"/>
      <c r="F2" s="163"/>
      <c r="G2" s="163"/>
      <c r="H2" s="163"/>
      <c r="I2" s="163"/>
      <c r="J2" s="163"/>
      <c r="K2" s="163"/>
      <c r="L2" s="163"/>
      <c r="M2" s="163"/>
      <c r="N2" s="164"/>
      <c r="O2" s="164"/>
      <c r="P2" s="164"/>
      <c r="Q2" s="164"/>
      <c r="R2" s="164"/>
      <c r="S2" s="164"/>
      <c r="T2" s="164"/>
      <c r="U2" s="164"/>
      <c r="V2" s="164"/>
      <c r="W2" s="164"/>
    </row>
    <row r="3" spans="1:22" ht="18.75" customHeight="1">
      <c r="A3" s="36"/>
      <c r="B3" s="16"/>
      <c r="I3" s="36"/>
      <c r="J3" s="36"/>
      <c r="K3" s="36"/>
      <c r="L3" s="36"/>
      <c r="M3" s="36"/>
      <c r="N3" s="36"/>
      <c r="O3" s="36"/>
      <c r="P3" s="5"/>
      <c r="Q3" s="5"/>
      <c r="R3" s="5"/>
      <c r="S3" s="32"/>
      <c r="T3" s="5"/>
      <c r="U3" s="5"/>
      <c r="V3" s="5"/>
    </row>
    <row r="4" spans="1:22" ht="18.75" customHeight="1">
      <c r="A4" s="38" t="s">
        <v>52</v>
      </c>
      <c r="B4" s="16"/>
      <c r="G4" s="8" t="s">
        <v>32</v>
      </c>
      <c r="I4" s="5"/>
      <c r="J4" s="5"/>
      <c r="K4" s="5"/>
      <c r="L4" s="5"/>
      <c r="M4" s="5"/>
      <c r="N4" s="5"/>
      <c r="O4" s="5"/>
      <c r="P4" s="5"/>
      <c r="Q4" s="5"/>
      <c r="R4" s="5"/>
      <c r="S4" s="32"/>
      <c r="T4" s="5"/>
      <c r="U4" s="5"/>
      <c r="V4" s="5"/>
    </row>
    <row r="5" spans="1:22" ht="18.75" customHeight="1">
      <c r="A5" s="69" t="s">
        <v>53</v>
      </c>
      <c r="B5" s="70"/>
      <c r="G5" s="18" t="s">
        <v>12</v>
      </c>
      <c r="I5" s="5"/>
      <c r="J5" s="5"/>
      <c r="K5" s="75">
        <v>2000</v>
      </c>
      <c r="L5" s="27"/>
      <c r="M5" s="13"/>
      <c r="N5" s="15"/>
      <c r="O5" s="13"/>
      <c r="P5" s="13"/>
      <c r="Q5" s="5"/>
      <c r="R5" s="5"/>
      <c r="S5" s="32"/>
      <c r="T5" s="5"/>
      <c r="U5" s="5"/>
      <c r="V5" s="5"/>
    </row>
    <row r="6" spans="1:22" ht="18.75" customHeight="1">
      <c r="A6" s="69" t="s">
        <v>54</v>
      </c>
      <c r="B6" s="61"/>
      <c r="G6" s="18" t="s">
        <v>11</v>
      </c>
      <c r="I6" s="5"/>
      <c r="J6" s="5"/>
      <c r="K6" s="75">
        <v>1000</v>
      </c>
      <c r="L6" s="13"/>
      <c r="M6" s="13"/>
      <c r="N6" s="15"/>
      <c r="O6" s="13"/>
      <c r="P6" s="13"/>
      <c r="Q6" s="5"/>
      <c r="R6" s="5"/>
      <c r="S6" s="32"/>
      <c r="T6" s="5"/>
      <c r="U6" s="5"/>
      <c r="V6" s="5"/>
    </row>
    <row r="7" spans="1:22" ht="18.75" customHeight="1">
      <c r="A7" s="69" t="s">
        <v>94</v>
      </c>
      <c r="B7" s="116"/>
      <c r="G7" s="18"/>
      <c r="I7" s="5"/>
      <c r="J7" s="5"/>
      <c r="K7" s="115"/>
      <c r="L7" s="13"/>
      <c r="M7" s="13"/>
      <c r="N7" s="15"/>
      <c r="O7" s="13"/>
      <c r="P7" s="13"/>
      <c r="Q7" s="5"/>
      <c r="R7" s="5"/>
      <c r="S7" s="32"/>
      <c r="T7" s="5"/>
      <c r="U7" s="5"/>
      <c r="V7" s="5"/>
    </row>
    <row r="8" spans="7:16" ht="18" customHeight="1">
      <c r="G8" s="41" t="s">
        <v>33</v>
      </c>
      <c r="I8" s="5"/>
      <c r="J8" s="5"/>
      <c r="K8" s="40"/>
      <c r="L8" s="40"/>
      <c r="M8" s="13"/>
      <c r="N8" s="15"/>
      <c r="O8" s="13"/>
      <c r="P8" s="13"/>
    </row>
    <row r="9" spans="1:22" ht="18" customHeight="1">
      <c r="A9" s="8" t="s">
        <v>6</v>
      </c>
      <c r="B9" s="12"/>
      <c r="C9" s="13"/>
      <c r="D9" s="13"/>
      <c r="E9" s="5"/>
      <c r="F9" s="38"/>
      <c r="G9" s="18" t="s">
        <v>8</v>
      </c>
      <c r="I9" s="5"/>
      <c r="J9" s="5"/>
      <c r="K9" s="78" t="s">
        <v>7</v>
      </c>
      <c r="L9" s="42" t="s">
        <v>7</v>
      </c>
      <c r="V9" s="5"/>
    </row>
    <row r="10" spans="1:22" ht="18" customHeight="1">
      <c r="A10" s="53" t="s">
        <v>34</v>
      </c>
      <c r="B10" s="114">
        <f>'Simple Calculator'!C26*1000</f>
        <v>5400</v>
      </c>
      <c r="C10" s="13" t="s">
        <v>10</v>
      </c>
      <c r="D10" s="14"/>
      <c r="E10" s="5"/>
      <c r="F10" s="36"/>
      <c r="G10" s="53" t="s">
        <v>71</v>
      </c>
      <c r="H10" s="5"/>
      <c r="I10" s="5"/>
      <c r="J10" s="5"/>
      <c r="K10" s="77">
        <v>0.07</v>
      </c>
      <c r="L10" s="42" t="s">
        <v>9</v>
      </c>
      <c r="M10" s="40"/>
      <c r="N10" s="40"/>
      <c r="O10" s="40"/>
      <c r="P10" s="40"/>
      <c r="V10" s="5"/>
    </row>
    <row r="11" spans="1:22" ht="18" customHeight="1">
      <c r="A11" s="53" t="s">
        <v>61</v>
      </c>
      <c r="B11" s="117">
        <f>'Simple Calculator'!C29/1000</f>
        <v>9.25</v>
      </c>
      <c r="C11" s="13" t="s">
        <v>14</v>
      </c>
      <c r="D11" s="14"/>
      <c r="E11" s="5"/>
      <c r="F11" s="36"/>
      <c r="G11" s="53" t="s">
        <v>0</v>
      </c>
      <c r="H11" s="5"/>
      <c r="I11" s="5"/>
      <c r="J11" s="5"/>
      <c r="K11" s="70">
        <v>10</v>
      </c>
      <c r="L11" s="13" t="s">
        <v>28</v>
      </c>
      <c r="M11" s="40"/>
      <c r="N11" s="40"/>
      <c r="O11" s="40"/>
      <c r="P11" s="40"/>
      <c r="V11" s="5"/>
    </row>
    <row r="12" spans="1:22" ht="18" customHeight="1">
      <c r="A12" s="53" t="s">
        <v>62</v>
      </c>
      <c r="B12" s="26">
        <f>B10*B11</f>
        <v>49950</v>
      </c>
      <c r="C12" s="13"/>
      <c r="D12" s="14"/>
      <c r="E12" s="5"/>
      <c r="F12" s="36"/>
      <c r="G12" s="53" t="s">
        <v>69</v>
      </c>
      <c r="H12" s="5"/>
      <c r="I12" s="5"/>
      <c r="J12" s="5"/>
      <c r="K12" s="26">
        <f>B12-B16</f>
        <v>39150</v>
      </c>
      <c r="L12" s="13"/>
      <c r="M12" s="13"/>
      <c r="N12" s="13"/>
      <c r="O12" s="15"/>
      <c r="P12" s="13"/>
      <c r="V12" s="22"/>
    </row>
    <row r="13" spans="1:22" ht="18" customHeight="1">
      <c r="A13" s="36"/>
      <c r="B13" s="12"/>
      <c r="C13" s="13"/>
      <c r="D13" s="13"/>
      <c r="E13" s="5"/>
      <c r="F13" s="29"/>
      <c r="G13" s="64" t="s">
        <v>9</v>
      </c>
      <c r="H13" s="5"/>
      <c r="I13" s="5"/>
      <c r="J13" s="5"/>
      <c r="K13" s="25">
        <f>IF(K9="Loan",B12-B16,0)</f>
        <v>0</v>
      </c>
      <c r="L13" s="13"/>
      <c r="M13" s="13"/>
      <c r="N13" s="15"/>
      <c r="O13" s="13"/>
      <c r="P13" s="13"/>
      <c r="Q13" s="28"/>
      <c r="R13" s="28"/>
      <c r="S13" s="33"/>
      <c r="T13" s="28"/>
      <c r="U13" s="28"/>
      <c r="V13" s="28"/>
    </row>
    <row r="14" spans="1:22" ht="18" customHeight="1">
      <c r="A14" s="38" t="s">
        <v>60</v>
      </c>
      <c r="B14" s="12"/>
      <c r="C14" s="13"/>
      <c r="F14" s="29"/>
      <c r="G14" s="53" t="s">
        <v>2</v>
      </c>
      <c r="H14" s="5"/>
      <c r="I14" s="5"/>
      <c r="K14" s="77">
        <v>0.05</v>
      </c>
      <c r="L14" s="13"/>
      <c r="M14" s="13"/>
      <c r="N14" s="15"/>
      <c r="O14" s="13"/>
      <c r="P14" s="13"/>
      <c r="Q14" s="23"/>
      <c r="R14" s="23"/>
      <c r="S14" s="32"/>
      <c r="T14" s="30"/>
      <c r="U14" s="30"/>
      <c r="V14" s="23"/>
    </row>
    <row r="15" spans="1:22" ht="18" customHeight="1" thickBot="1">
      <c r="A15" s="18" t="s">
        <v>67</v>
      </c>
      <c r="B15" s="117">
        <f>'Simple Calculator'!C49</f>
        <v>2</v>
      </c>
      <c r="C15" s="13" t="s">
        <v>14</v>
      </c>
      <c r="F15" s="29"/>
      <c r="G15" s="5"/>
      <c r="H15" s="5"/>
      <c r="I15" s="5"/>
      <c r="M15" s="13"/>
      <c r="N15" s="15"/>
      <c r="O15" s="13"/>
      <c r="P15" s="13"/>
      <c r="Q15" s="23"/>
      <c r="R15" s="23"/>
      <c r="S15" s="32"/>
      <c r="T15" s="30"/>
      <c r="U15" s="30"/>
      <c r="V15" s="23"/>
    </row>
    <row r="16" spans="1:22" ht="18" customHeight="1">
      <c r="A16" s="18" t="s">
        <v>64</v>
      </c>
      <c r="B16" s="26">
        <f>B15*B10</f>
        <v>10800</v>
      </c>
      <c r="C16" s="13"/>
      <c r="F16" s="29"/>
      <c r="G16" s="79" t="s">
        <v>59</v>
      </c>
      <c r="H16" s="80"/>
      <c r="I16" s="80"/>
      <c r="J16" s="80"/>
      <c r="K16" s="80"/>
      <c r="L16" s="81"/>
      <c r="M16" s="14"/>
      <c r="N16" s="14"/>
      <c r="O16" s="14"/>
      <c r="P16" s="13"/>
      <c r="Q16" s="23"/>
      <c r="R16" s="23"/>
      <c r="S16" s="32"/>
      <c r="T16" s="30"/>
      <c r="U16" s="30"/>
      <c r="V16" s="23"/>
    </row>
    <row r="17" spans="1:22" ht="18" customHeight="1">
      <c r="A17" s="18"/>
      <c r="B17" s="90"/>
      <c r="C17" s="13"/>
      <c r="F17" s="29"/>
      <c r="G17" s="82" t="s">
        <v>68</v>
      </c>
      <c r="H17" s="83"/>
      <c r="I17" s="84"/>
      <c r="J17" s="84"/>
      <c r="K17" s="129">
        <f>NPV(K14,D55:AG55)+C55</f>
        <v>-7106.51712506311</v>
      </c>
      <c r="L17" s="85"/>
      <c r="M17" s="13"/>
      <c r="N17" s="15"/>
      <c r="O17" s="13"/>
      <c r="P17" s="13"/>
      <c r="Q17" s="23"/>
      <c r="R17" s="23"/>
      <c r="S17" s="32"/>
      <c r="T17" s="30"/>
      <c r="U17" s="30"/>
      <c r="V17" s="23"/>
    </row>
    <row r="18" spans="1:22" ht="18" customHeight="1">
      <c r="A18" s="8" t="s">
        <v>18</v>
      </c>
      <c r="B18" s="12"/>
      <c r="C18" s="13"/>
      <c r="D18" s="36"/>
      <c r="E18" s="5"/>
      <c r="F18" s="29"/>
      <c r="G18" s="82" t="s">
        <v>48</v>
      </c>
      <c r="H18" s="84"/>
      <c r="I18" s="84"/>
      <c r="J18" s="84"/>
      <c r="K18" s="130">
        <f>$C$60</f>
        <v>20</v>
      </c>
      <c r="L18" s="85"/>
      <c r="M18" s="14"/>
      <c r="N18" s="14"/>
      <c r="O18" s="14"/>
      <c r="P18" s="13"/>
      <c r="Q18" s="23"/>
      <c r="R18" s="23"/>
      <c r="S18" s="32"/>
      <c r="T18" s="30"/>
      <c r="U18" s="30"/>
      <c r="V18" s="23"/>
    </row>
    <row r="19" spans="1:22" ht="18" customHeight="1">
      <c r="A19" s="18" t="s">
        <v>13</v>
      </c>
      <c r="B19" s="72">
        <v>0.14</v>
      </c>
      <c r="C19" s="13" t="s">
        <v>15</v>
      </c>
      <c r="D19" s="13"/>
      <c r="E19" s="5"/>
      <c r="F19" s="29"/>
      <c r="G19" s="82" t="s">
        <v>108</v>
      </c>
      <c r="H19" s="83"/>
      <c r="I19" s="84"/>
      <c r="J19" s="84"/>
      <c r="K19" s="131">
        <f>IRR(C55:AG55,0.01)</f>
        <v>0.03211041682771678</v>
      </c>
      <c r="L19" s="85"/>
      <c r="M19" s="13"/>
      <c r="N19" s="15"/>
      <c r="O19" s="13"/>
      <c r="P19" s="13"/>
      <c r="Q19" s="23"/>
      <c r="R19" s="23"/>
      <c r="S19" s="32"/>
      <c r="T19" s="30"/>
      <c r="U19" s="30"/>
      <c r="V19" s="23"/>
    </row>
    <row r="20" spans="1:22" ht="18" customHeight="1" thickBot="1">
      <c r="A20" s="18" t="s">
        <v>27</v>
      </c>
      <c r="B20" s="73">
        <v>0.005</v>
      </c>
      <c r="C20" s="21" t="s">
        <v>23</v>
      </c>
      <c r="D20" s="13"/>
      <c r="E20" s="21"/>
      <c r="F20" s="39"/>
      <c r="G20" s="86"/>
      <c r="H20" s="87"/>
      <c r="I20" s="87"/>
      <c r="J20" s="87"/>
      <c r="K20" s="87"/>
      <c r="L20" s="88"/>
      <c r="Q20" s="23"/>
      <c r="R20" s="23"/>
      <c r="S20" s="32"/>
      <c r="T20" s="30"/>
      <c r="U20" s="30"/>
      <c r="V20" s="23"/>
    </row>
    <row r="21" spans="1:22" ht="18" customHeight="1">
      <c r="A21" s="18" t="s">
        <v>3</v>
      </c>
      <c r="B21" s="70">
        <v>25</v>
      </c>
      <c r="C21" s="21" t="s">
        <v>4</v>
      </c>
      <c r="D21" s="13"/>
      <c r="E21" s="21"/>
      <c r="F21" s="39"/>
      <c r="Q21" s="5"/>
      <c r="R21" s="5"/>
      <c r="S21" s="32"/>
      <c r="T21" s="5"/>
      <c r="U21" s="5"/>
      <c r="V21" s="5"/>
    </row>
    <row r="22" spans="1:22" ht="18" customHeight="1">
      <c r="A22" s="18" t="s">
        <v>20</v>
      </c>
      <c r="B22" s="71">
        <v>0.2</v>
      </c>
      <c r="C22" s="13" t="s">
        <v>5</v>
      </c>
      <c r="D22" s="13"/>
      <c r="E22" s="21"/>
      <c r="F22" s="39"/>
      <c r="Q22" s="5"/>
      <c r="R22" s="5"/>
      <c r="S22" s="32"/>
      <c r="T22" s="5"/>
      <c r="U22" s="5"/>
      <c r="V22" s="5"/>
    </row>
    <row r="23" spans="1:22" ht="18" customHeight="1">
      <c r="A23" s="18" t="s">
        <v>21</v>
      </c>
      <c r="B23" s="138">
        <f>'Simple Calculator'!C56</f>
        <v>0.05</v>
      </c>
      <c r="C23" s="13" t="s">
        <v>23</v>
      </c>
      <c r="D23" s="13"/>
      <c r="E23" s="21"/>
      <c r="F23" s="39"/>
      <c r="Q23" s="5"/>
      <c r="R23" s="5"/>
      <c r="S23" s="32"/>
      <c r="T23" s="5"/>
      <c r="U23" s="5"/>
      <c r="V23" s="5"/>
    </row>
    <row r="24" spans="1:22" ht="18" customHeight="1">
      <c r="A24" s="18" t="s">
        <v>24</v>
      </c>
      <c r="B24" s="71">
        <v>0.05</v>
      </c>
      <c r="C24" s="13" t="s">
        <v>5</v>
      </c>
      <c r="D24" s="13"/>
      <c r="E24" s="21"/>
      <c r="F24" s="39"/>
      <c r="G24" s="53"/>
      <c r="H24" s="36"/>
      <c r="I24" s="36"/>
      <c r="J24" s="36"/>
      <c r="K24" s="91"/>
      <c r="L24" s="36"/>
      <c r="Q24" s="5"/>
      <c r="R24" s="5"/>
      <c r="S24" s="32"/>
      <c r="T24" s="5"/>
      <c r="U24" s="5"/>
      <c r="V24" s="5"/>
    </row>
    <row r="25" spans="1:22" ht="18" customHeight="1">
      <c r="A25" s="18" t="s">
        <v>25</v>
      </c>
      <c r="B25" s="74">
        <v>0</v>
      </c>
      <c r="C25" s="13" t="s">
        <v>23</v>
      </c>
      <c r="D25" s="13"/>
      <c r="E25" s="21"/>
      <c r="F25" s="39"/>
      <c r="G25" s="36"/>
      <c r="H25" s="36"/>
      <c r="I25" s="36"/>
      <c r="J25" s="36"/>
      <c r="K25" s="36"/>
      <c r="L25" s="36"/>
      <c r="Q25" s="5"/>
      <c r="R25" s="5"/>
      <c r="S25" s="32"/>
      <c r="T25" s="5"/>
      <c r="U25" s="5"/>
      <c r="V25" s="5"/>
    </row>
    <row r="26" spans="1:22" ht="18" customHeight="1">
      <c r="A26" s="18" t="s">
        <v>22</v>
      </c>
      <c r="B26" s="70">
        <v>5</v>
      </c>
      <c r="C26" s="13" t="s">
        <v>28</v>
      </c>
      <c r="D26" s="13"/>
      <c r="E26" s="13"/>
      <c r="F26" s="15"/>
      <c r="Q26" s="5"/>
      <c r="R26" s="5"/>
      <c r="S26" s="32"/>
      <c r="T26" s="5"/>
      <c r="U26" s="5"/>
      <c r="V26" s="5"/>
    </row>
    <row r="27" spans="1:22" ht="18" customHeight="1">
      <c r="A27" s="18" t="s">
        <v>26</v>
      </c>
      <c r="B27" s="75">
        <v>0</v>
      </c>
      <c r="C27" s="13" t="s">
        <v>35</v>
      </c>
      <c r="D27" s="13"/>
      <c r="E27" s="13"/>
      <c r="F27" s="15"/>
      <c r="Q27" s="5"/>
      <c r="R27" s="5"/>
      <c r="S27" s="32"/>
      <c r="T27" s="5"/>
      <c r="U27" s="5"/>
      <c r="V27" s="5"/>
    </row>
    <row r="28" spans="1:22" ht="18" customHeight="1">
      <c r="A28" s="18" t="s">
        <v>29</v>
      </c>
      <c r="B28" s="74">
        <v>0.03</v>
      </c>
      <c r="C28" s="13" t="s">
        <v>23</v>
      </c>
      <c r="D28" s="13"/>
      <c r="E28" s="13"/>
      <c r="F28" s="15"/>
      <c r="Q28" s="5"/>
      <c r="R28" s="5"/>
      <c r="S28" s="32"/>
      <c r="T28" s="5"/>
      <c r="U28" s="5"/>
      <c r="V28" s="5"/>
    </row>
    <row r="29" spans="1:22" ht="18" customHeight="1">
      <c r="A29" s="18" t="s">
        <v>30</v>
      </c>
      <c r="B29" s="76">
        <v>0.75</v>
      </c>
      <c r="C29" s="13" t="s">
        <v>14</v>
      </c>
      <c r="D29" s="13"/>
      <c r="E29" s="13"/>
      <c r="F29" s="15"/>
      <c r="Q29" s="5"/>
      <c r="R29" s="5"/>
      <c r="S29" s="32"/>
      <c r="T29" s="5"/>
      <c r="U29" s="5"/>
      <c r="V29" s="5"/>
    </row>
    <row r="30" spans="1:22" ht="18" customHeight="1">
      <c r="A30" s="18" t="s">
        <v>42</v>
      </c>
      <c r="B30" s="70">
        <v>15</v>
      </c>
      <c r="C30" s="13" t="s">
        <v>31</v>
      </c>
      <c r="D30" s="13"/>
      <c r="E30" s="13"/>
      <c r="F30" s="15"/>
      <c r="Q30" s="5"/>
      <c r="R30" s="5"/>
      <c r="S30" s="32"/>
      <c r="T30" s="5"/>
      <c r="U30" s="5"/>
      <c r="V30" s="5"/>
    </row>
    <row r="31" spans="2:22" ht="18" customHeight="1">
      <c r="B31" s="2"/>
      <c r="Q31" s="5"/>
      <c r="R31" s="5"/>
      <c r="S31" s="32"/>
      <c r="T31" s="5"/>
      <c r="U31" s="5"/>
      <c r="V31" s="5"/>
    </row>
    <row r="32" spans="1:23" s="62" customFormat="1" ht="26.25">
      <c r="A32" s="163" t="s">
        <v>55</v>
      </c>
      <c r="B32" s="163"/>
      <c r="C32" s="163"/>
      <c r="D32" s="163"/>
      <c r="E32" s="163"/>
      <c r="F32" s="163"/>
      <c r="G32" s="163"/>
      <c r="H32" s="163"/>
      <c r="I32" s="163"/>
      <c r="J32" s="163"/>
      <c r="K32" s="163"/>
      <c r="L32" s="163"/>
      <c r="M32" s="163"/>
      <c r="N32" s="164"/>
      <c r="O32" s="164"/>
      <c r="P32" s="164"/>
      <c r="Q32" s="164"/>
      <c r="R32" s="164"/>
      <c r="S32" s="164"/>
      <c r="T32" s="164"/>
      <c r="U32" s="164"/>
      <c r="V32" s="164"/>
      <c r="W32" s="164"/>
    </row>
    <row r="33" spans="3:33" ht="18" customHeight="1">
      <c r="C33" s="37" t="s">
        <v>16</v>
      </c>
      <c r="D33" s="4" t="s">
        <v>1</v>
      </c>
      <c r="E33" s="4" t="s">
        <v>1</v>
      </c>
      <c r="F33" s="4" t="s">
        <v>1</v>
      </c>
      <c r="G33" s="4" t="s">
        <v>1</v>
      </c>
      <c r="H33" s="4" t="s">
        <v>1</v>
      </c>
      <c r="I33" s="4" t="s">
        <v>1</v>
      </c>
      <c r="J33" s="4" t="s">
        <v>1</v>
      </c>
      <c r="K33" s="4" t="s">
        <v>1</v>
      </c>
      <c r="L33" s="4" t="s">
        <v>1</v>
      </c>
      <c r="M33" s="4" t="s">
        <v>1</v>
      </c>
      <c r="N33" s="4" t="s">
        <v>1</v>
      </c>
      <c r="O33" s="4" t="s">
        <v>1</v>
      </c>
      <c r="P33" s="4" t="s">
        <v>1</v>
      </c>
      <c r="Q33" s="4" t="s">
        <v>1</v>
      </c>
      <c r="R33" s="4" t="s">
        <v>1</v>
      </c>
      <c r="S33" s="4" t="s">
        <v>1</v>
      </c>
      <c r="T33" s="34" t="s">
        <v>1</v>
      </c>
      <c r="U33" s="4" t="s">
        <v>1</v>
      </c>
      <c r="V33" s="4" t="s">
        <v>1</v>
      </c>
      <c r="W33" s="4" t="s">
        <v>1</v>
      </c>
      <c r="X33" s="4" t="s">
        <v>1</v>
      </c>
      <c r="Y33" s="4" t="s">
        <v>1</v>
      </c>
      <c r="Z33" s="4" t="s">
        <v>1</v>
      </c>
      <c r="AA33" s="4" t="s">
        <v>1</v>
      </c>
      <c r="AB33" s="4" t="s">
        <v>1</v>
      </c>
      <c r="AC33" s="4" t="s">
        <v>1</v>
      </c>
      <c r="AD33" s="4" t="s">
        <v>1</v>
      </c>
      <c r="AE33" s="4" t="s">
        <v>1</v>
      </c>
      <c r="AF33" s="4" t="s">
        <v>1</v>
      </c>
      <c r="AG33" s="4" t="s">
        <v>1</v>
      </c>
    </row>
    <row r="34" spans="1:33" ht="18" customHeight="1">
      <c r="A34" s="6" t="s">
        <v>37</v>
      </c>
      <c r="B34" s="11"/>
      <c r="C34" s="43">
        <v>0</v>
      </c>
      <c r="D34" s="7">
        <v>1</v>
      </c>
      <c r="E34" s="7">
        <v>2</v>
      </c>
      <c r="F34" s="7">
        <v>3</v>
      </c>
      <c r="G34" s="7">
        <v>4</v>
      </c>
      <c r="H34" s="7">
        <v>5</v>
      </c>
      <c r="I34" s="7">
        <v>6</v>
      </c>
      <c r="J34" s="7">
        <v>7</v>
      </c>
      <c r="K34" s="7">
        <v>8</v>
      </c>
      <c r="L34" s="7">
        <v>9</v>
      </c>
      <c r="M34" s="7">
        <v>10</v>
      </c>
      <c r="N34" s="7">
        <v>11</v>
      </c>
      <c r="O34" s="7">
        <v>12</v>
      </c>
      <c r="P34" s="7">
        <v>13</v>
      </c>
      <c r="Q34" s="7">
        <v>14</v>
      </c>
      <c r="R34" s="7">
        <v>15</v>
      </c>
      <c r="S34" s="7">
        <v>16</v>
      </c>
      <c r="T34" s="35">
        <v>17</v>
      </c>
      <c r="U34" s="7">
        <v>18</v>
      </c>
      <c r="V34" s="7">
        <v>19</v>
      </c>
      <c r="W34" s="7">
        <v>20</v>
      </c>
      <c r="X34" s="7">
        <v>21</v>
      </c>
      <c r="Y34" s="7">
        <v>22</v>
      </c>
      <c r="Z34" s="7">
        <v>23</v>
      </c>
      <c r="AA34" s="7">
        <v>24</v>
      </c>
      <c r="AB34" s="7">
        <v>25</v>
      </c>
      <c r="AC34" s="7">
        <v>26</v>
      </c>
      <c r="AD34" s="7">
        <v>27</v>
      </c>
      <c r="AE34" s="7">
        <v>28</v>
      </c>
      <c r="AF34" s="7">
        <v>29</v>
      </c>
      <c r="AG34" s="7">
        <v>30</v>
      </c>
    </row>
    <row r="35" spans="1:33" ht="18" customHeight="1">
      <c r="A35" s="2" t="s">
        <v>17</v>
      </c>
      <c r="B35" s="10"/>
      <c r="C35" s="10"/>
      <c r="D35" s="19">
        <f>B10*8760*B19/1000</f>
        <v>6622.560000000001</v>
      </c>
      <c r="E35" s="20">
        <f aca="true" t="shared" si="0" ref="E35:AG35">IF(E34&lt;=$B$21,D35*(1-$B$20),0)</f>
        <v>6589.447200000001</v>
      </c>
      <c r="F35" s="20">
        <f t="shared" si="0"/>
        <v>6556.4999640000015</v>
      </c>
      <c r="G35" s="20">
        <f t="shared" si="0"/>
        <v>6523.717464180001</v>
      </c>
      <c r="H35" s="20">
        <f t="shared" si="0"/>
        <v>6491.098876859101</v>
      </c>
      <c r="I35" s="20">
        <f t="shared" si="0"/>
        <v>6458.643382474806</v>
      </c>
      <c r="J35" s="20">
        <f t="shared" si="0"/>
        <v>6426.350165562431</v>
      </c>
      <c r="K35" s="20">
        <f t="shared" si="0"/>
        <v>6394.218414734619</v>
      </c>
      <c r="L35" s="20">
        <f t="shared" si="0"/>
        <v>6362.247322660945</v>
      </c>
      <c r="M35" s="20">
        <f t="shared" si="0"/>
        <v>6330.436086047641</v>
      </c>
      <c r="N35" s="20">
        <f t="shared" si="0"/>
        <v>6298.7839056174025</v>
      </c>
      <c r="O35" s="20">
        <f t="shared" si="0"/>
        <v>6267.289986089316</v>
      </c>
      <c r="P35" s="20">
        <f t="shared" si="0"/>
        <v>6235.95353615887</v>
      </c>
      <c r="Q35" s="20">
        <f t="shared" si="0"/>
        <v>6204.773768478075</v>
      </c>
      <c r="R35" s="20">
        <f t="shared" si="0"/>
        <v>6173.749899635684</v>
      </c>
      <c r="S35" s="20">
        <f t="shared" si="0"/>
        <v>6142.881150137506</v>
      </c>
      <c r="T35" s="9">
        <f t="shared" si="0"/>
        <v>6112.166744386818</v>
      </c>
      <c r="U35" s="20">
        <f t="shared" si="0"/>
        <v>6081.6059106648845</v>
      </c>
      <c r="V35" s="20">
        <f t="shared" si="0"/>
        <v>6051.1978811115605</v>
      </c>
      <c r="W35" s="20">
        <f t="shared" si="0"/>
        <v>6020.941891706003</v>
      </c>
      <c r="X35" s="20">
        <f t="shared" si="0"/>
        <v>5990.837182247473</v>
      </c>
      <c r="Y35" s="20">
        <f t="shared" si="0"/>
        <v>5960.882996336235</v>
      </c>
      <c r="Z35" s="20">
        <f t="shared" si="0"/>
        <v>5931.0785813545535</v>
      </c>
      <c r="AA35" s="20">
        <f t="shared" si="0"/>
        <v>5901.42318844778</v>
      </c>
      <c r="AB35" s="20">
        <f t="shared" si="0"/>
        <v>5871.916072505542</v>
      </c>
      <c r="AC35" s="20">
        <f t="shared" si="0"/>
        <v>0</v>
      </c>
      <c r="AD35" s="20">
        <f t="shared" si="0"/>
        <v>0</v>
      </c>
      <c r="AE35" s="20">
        <f t="shared" si="0"/>
        <v>0</v>
      </c>
      <c r="AF35" s="20">
        <f t="shared" si="0"/>
        <v>0</v>
      </c>
      <c r="AG35" s="20">
        <f t="shared" si="0"/>
        <v>0</v>
      </c>
    </row>
    <row r="36" spans="2:33" ht="18" customHeight="1">
      <c r="B36" s="10"/>
      <c r="C36" s="10"/>
      <c r="D36" s="19"/>
      <c r="E36" s="20"/>
      <c r="F36" s="20"/>
      <c r="G36" s="20"/>
      <c r="H36" s="20"/>
      <c r="I36" s="20"/>
      <c r="J36" s="20"/>
      <c r="K36" s="20"/>
      <c r="L36" s="20"/>
      <c r="M36" s="20"/>
      <c r="N36" s="20"/>
      <c r="O36" s="20"/>
      <c r="P36" s="20"/>
      <c r="Q36" s="20"/>
      <c r="R36" s="20"/>
      <c r="S36" s="20"/>
      <c r="T36" s="9"/>
      <c r="U36" s="20"/>
      <c r="V36" s="20"/>
      <c r="W36" s="20"/>
      <c r="X36" s="20"/>
      <c r="Y36" s="20"/>
      <c r="Z36" s="20"/>
      <c r="AA36" s="20"/>
      <c r="AB36" s="20"/>
      <c r="AC36" s="20"/>
      <c r="AD36" s="20"/>
      <c r="AE36" s="20"/>
      <c r="AF36" s="20"/>
      <c r="AG36" s="20"/>
    </row>
    <row r="37" spans="1:33" ht="21.75" customHeight="1">
      <c r="A37" s="49" t="s">
        <v>65</v>
      </c>
      <c r="B37" s="50"/>
      <c r="C37" s="50"/>
      <c r="D37" s="54"/>
      <c r="E37" s="55"/>
      <c r="F37" s="55"/>
      <c r="G37" s="55"/>
      <c r="H37" s="55"/>
      <c r="I37" s="55"/>
      <c r="J37" s="55"/>
      <c r="K37" s="55"/>
      <c r="L37" s="55"/>
      <c r="M37" s="55"/>
      <c r="N37" s="55"/>
      <c r="O37" s="55"/>
      <c r="P37" s="55"/>
      <c r="Q37" s="55"/>
      <c r="R37" s="55"/>
      <c r="S37" s="55"/>
      <c r="T37" s="56"/>
      <c r="U37" s="55"/>
      <c r="V37" s="55"/>
      <c r="W37" s="55"/>
      <c r="X37" s="20"/>
      <c r="Y37" s="20"/>
      <c r="Z37" s="20"/>
      <c r="AA37" s="20"/>
      <c r="AB37" s="20"/>
      <c r="AC37" s="20"/>
      <c r="AD37" s="20"/>
      <c r="AE37" s="20"/>
      <c r="AF37" s="20"/>
      <c r="AG37" s="20"/>
    </row>
    <row r="38" spans="1:33" ht="18" customHeight="1">
      <c r="A38" s="47" t="s">
        <v>51</v>
      </c>
      <c r="B38" s="10"/>
      <c r="C38" s="10"/>
      <c r="D38" s="63"/>
      <c r="E38" s="20"/>
      <c r="F38" s="20"/>
      <c r="G38" s="20"/>
      <c r="H38" s="20"/>
      <c r="I38" s="20"/>
      <c r="J38" s="20"/>
      <c r="K38" s="20"/>
      <c r="L38" s="20"/>
      <c r="M38" s="20"/>
      <c r="N38" s="20"/>
      <c r="O38" s="20"/>
      <c r="P38" s="20"/>
      <c r="Q38" s="20"/>
      <c r="R38" s="20"/>
      <c r="S38" s="20"/>
      <c r="T38" s="9"/>
      <c r="U38" s="20"/>
      <c r="V38" s="20"/>
      <c r="W38" s="20"/>
      <c r="X38" s="20"/>
      <c r="Y38" s="20"/>
      <c r="Z38" s="20"/>
      <c r="AA38" s="20"/>
      <c r="AB38" s="20"/>
      <c r="AC38" s="20"/>
      <c r="AD38" s="20"/>
      <c r="AE38" s="20"/>
      <c r="AF38" s="20"/>
      <c r="AG38" s="20"/>
    </row>
    <row r="39" spans="1:33" s="5" customFormat="1" ht="18" customHeight="1">
      <c r="A39" s="67" t="s">
        <v>72</v>
      </c>
      <c r="B39" s="65"/>
      <c r="C39" s="65">
        <f>IF(K9="Cash",-$K$12,0)</f>
        <v>-39150</v>
      </c>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row>
    <row r="40" spans="1:33" s="5" customFormat="1" ht="18" customHeight="1">
      <c r="A40" s="96" t="s">
        <v>75</v>
      </c>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row>
    <row r="41" spans="1:33" s="5" customFormat="1" ht="18" customHeight="1">
      <c r="A41" s="93" t="s">
        <v>73</v>
      </c>
      <c r="B41" s="65"/>
      <c r="C41" s="65"/>
      <c r="D41" s="65">
        <f>IF('Simple Calculator'!C46="Yes",$K$6,0)</f>
        <v>1000</v>
      </c>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row>
    <row r="42" spans="1:33" s="36" customFormat="1" ht="18" customHeight="1">
      <c r="A42" s="93" t="s">
        <v>12</v>
      </c>
      <c r="B42" s="65"/>
      <c r="C42" s="24"/>
      <c r="D42" s="24">
        <f>IF('Simple Calculator'!C46="Yes",+($K$5),0)</f>
        <v>2000</v>
      </c>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3" s="36" customFormat="1" ht="18" customHeight="1">
      <c r="A43" s="68" t="s">
        <v>76</v>
      </c>
      <c r="B43" s="65"/>
      <c r="C43" s="65"/>
      <c r="D43" s="65">
        <f>SUM(D41:D42)</f>
        <v>3000</v>
      </c>
      <c r="E43" s="65">
        <f aca="true" t="shared" si="1" ref="E43:AG43">SUM(E41:E42)</f>
        <v>0</v>
      </c>
      <c r="F43" s="65">
        <f t="shared" si="1"/>
        <v>0</v>
      </c>
      <c r="G43" s="65">
        <f t="shared" si="1"/>
        <v>0</v>
      </c>
      <c r="H43" s="65">
        <f t="shared" si="1"/>
        <v>0</v>
      </c>
      <c r="I43" s="65">
        <f t="shared" si="1"/>
        <v>0</v>
      </c>
      <c r="J43" s="65">
        <f t="shared" si="1"/>
        <v>0</v>
      </c>
      <c r="K43" s="65">
        <f t="shared" si="1"/>
        <v>0</v>
      </c>
      <c r="L43" s="65">
        <f t="shared" si="1"/>
        <v>0</v>
      </c>
      <c r="M43" s="65">
        <f t="shared" si="1"/>
        <v>0</v>
      </c>
      <c r="N43" s="65">
        <f t="shared" si="1"/>
        <v>0</v>
      </c>
      <c r="O43" s="65">
        <f t="shared" si="1"/>
        <v>0</v>
      </c>
      <c r="P43" s="65">
        <f t="shared" si="1"/>
        <v>0</v>
      </c>
      <c r="Q43" s="65">
        <f t="shared" si="1"/>
        <v>0</v>
      </c>
      <c r="R43" s="65">
        <f t="shared" si="1"/>
        <v>0</v>
      </c>
      <c r="S43" s="65">
        <f t="shared" si="1"/>
        <v>0</v>
      </c>
      <c r="T43" s="65">
        <f t="shared" si="1"/>
        <v>0</v>
      </c>
      <c r="U43" s="65">
        <f t="shared" si="1"/>
        <v>0</v>
      </c>
      <c r="V43" s="65">
        <f t="shared" si="1"/>
        <v>0</v>
      </c>
      <c r="W43" s="65">
        <f t="shared" si="1"/>
        <v>0</v>
      </c>
      <c r="X43" s="65">
        <f t="shared" si="1"/>
        <v>0</v>
      </c>
      <c r="Y43" s="65">
        <f t="shared" si="1"/>
        <v>0</v>
      </c>
      <c r="Z43" s="65">
        <f t="shared" si="1"/>
        <v>0</v>
      </c>
      <c r="AA43" s="65">
        <f t="shared" si="1"/>
        <v>0</v>
      </c>
      <c r="AB43" s="65">
        <f t="shared" si="1"/>
        <v>0</v>
      </c>
      <c r="AC43" s="65">
        <f t="shared" si="1"/>
        <v>0</v>
      </c>
      <c r="AD43" s="65">
        <f t="shared" si="1"/>
        <v>0</v>
      </c>
      <c r="AE43" s="65">
        <f t="shared" si="1"/>
        <v>0</v>
      </c>
      <c r="AF43" s="65">
        <f t="shared" si="1"/>
        <v>0</v>
      </c>
      <c r="AG43" s="65">
        <f t="shared" si="1"/>
        <v>0</v>
      </c>
    </row>
    <row r="44" spans="1:33" s="38" customFormat="1" ht="18" customHeight="1">
      <c r="A44" s="96" t="s">
        <v>74</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row>
    <row r="45" spans="1:33" s="3" customFormat="1" ht="18" customHeight="1">
      <c r="A45" s="92" t="s">
        <v>38</v>
      </c>
      <c r="B45" s="10"/>
      <c r="C45" s="10"/>
      <c r="D45" s="10">
        <f aca="true" t="shared" si="2" ref="D45:AG45">D$35*$B$22*(1+$B$23)^C$34</f>
        <v>1324.5120000000004</v>
      </c>
      <c r="E45" s="10">
        <f t="shared" si="2"/>
        <v>1383.7839120000006</v>
      </c>
      <c r="F45" s="10">
        <f t="shared" si="2"/>
        <v>1445.7082420620004</v>
      </c>
      <c r="G45" s="10">
        <f t="shared" si="2"/>
        <v>1510.403685894275</v>
      </c>
      <c r="H45" s="10">
        <f t="shared" si="2"/>
        <v>1577.9942508380436</v>
      </c>
      <c r="I45" s="10">
        <f t="shared" si="2"/>
        <v>1648.6094935630465</v>
      </c>
      <c r="J45" s="10">
        <f t="shared" si="2"/>
        <v>1722.3847683999923</v>
      </c>
      <c r="K45" s="10">
        <f t="shared" si="2"/>
        <v>1799.461486785892</v>
      </c>
      <c r="L45" s="10">
        <f t="shared" si="2"/>
        <v>1879.9873883195608</v>
      </c>
      <c r="M45" s="10">
        <f t="shared" si="2"/>
        <v>1964.1168239468611</v>
      </c>
      <c r="N45" s="10">
        <f t="shared" si="2"/>
        <v>2052.011051818483</v>
      </c>
      <c r="O45" s="10">
        <f t="shared" si="2"/>
        <v>2143.8385463873606</v>
      </c>
      <c r="P45" s="10">
        <f t="shared" si="2"/>
        <v>2239.7753213381948</v>
      </c>
      <c r="Q45" s="10">
        <f t="shared" si="2"/>
        <v>2340.0052669680795</v>
      </c>
      <c r="R45" s="10">
        <f t="shared" si="2"/>
        <v>2444.7205026649003</v>
      </c>
      <c r="S45" s="10">
        <f t="shared" si="2"/>
        <v>2554.121745159155</v>
      </c>
      <c r="T45" s="10">
        <f t="shared" si="2"/>
        <v>2668.418693255027</v>
      </c>
      <c r="U45" s="10">
        <f t="shared" si="2"/>
        <v>2787.8304297781897</v>
      </c>
      <c r="V45" s="10">
        <f t="shared" si="2"/>
        <v>2912.5858415107637</v>
      </c>
      <c r="W45" s="10">
        <f t="shared" si="2"/>
        <v>3042.924057918371</v>
      </c>
      <c r="X45" s="10">
        <f t="shared" si="2"/>
        <v>3179.0949095102173</v>
      </c>
      <c r="Y45" s="10">
        <f t="shared" si="2"/>
        <v>3321.3594067107992</v>
      </c>
      <c r="Z45" s="10">
        <f t="shared" si="2"/>
        <v>3469.9902401611075</v>
      </c>
      <c r="AA45" s="10">
        <f t="shared" si="2"/>
        <v>3625.272303408318</v>
      </c>
      <c r="AB45" s="10">
        <f t="shared" si="2"/>
        <v>3787.5032389858393</v>
      </c>
      <c r="AC45" s="10">
        <f t="shared" si="2"/>
        <v>0</v>
      </c>
      <c r="AD45" s="10">
        <f t="shared" si="2"/>
        <v>0</v>
      </c>
      <c r="AE45" s="10">
        <f t="shared" si="2"/>
        <v>0</v>
      </c>
      <c r="AF45" s="10">
        <f t="shared" si="2"/>
        <v>0</v>
      </c>
      <c r="AG45" s="10">
        <f t="shared" si="2"/>
        <v>0</v>
      </c>
    </row>
    <row r="46" spans="1:33" s="3" customFormat="1" ht="18" customHeight="1">
      <c r="A46" s="92" t="s">
        <v>19</v>
      </c>
      <c r="B46" s="10"/>
      <c r="C46" s="11"/>
      <c r="D46" s="11">
        <f aca="true" t="shared" si="3" ref="D46:AG46">IF(D$34&lt;=$B$26,D$35*$B$24*(1+$B$25)^C$34,0)</f>
        <v>331.1280000000001</v>
      </c>
      <c r="E46" s="11">
        <f t="shared" si="3"/>
        <v>329.4723600000001</v>
      </c>
      <c r="F46" s="11">
        <f t="shared" si="3"/>
        <v>327.8249982000001</v>
      </c>
      <c r="G46" s="11">
        <f t="shared" si="3"/>
        <v>326.1858732090001</v>
      </c>
      <c r="H46" s="11">
        <f t="shared" si="3"/>
        <v>324.5549438429551</v>
      </c>
      <c r="I46" s="11">
        <f t="shared" si="3"/>
        <v>0</v>
      </c>
      <c r="J46" s="11">
        <f t="shared" si="3"/>
        <v>0</v>
      </c>
      <c r="K46" s="11">
        <f t="shared" si="3"/>
        <v>0</v>
      </c>
      <c r="L46" s="11">
        <f t="shared" si="3"/>
        <v>0</v>
      </c>
      <c r="M46" s="11">
        <f t="shared" si="3"/>
        <v>0</v>
      </c>
      <c r="N46" s="11">
        <f t="shared" si="3"/>
        <v>0</v>
      </c>
      <c r="O46" s="11">
        <f t="shared" si="3"/>
        <v>0</v>
      </c>
      <c r="P46" s="11">
        <f t="shared" si="3"/>
        <v>0</v>
      </c>
      <c r="Q46" s="11">
        <f t="shared" si="3"/>
        <v>0</v>
      </c>
      <c r="R46" s="11">
        <f t="shared" si="3"/>
        <v>0</v>
      </c>
      <c r="S46" s="11">
        <f t="shared" si="3"/>
        <v>0</v>
      </c>
      <c r="T46" s="11">
        <f t="shared" si="3"/>
        <v>0</v>
      </c>
      <c r="U46" s="11">
        <f t="shared" si="3"/>
        <v>0</v>
      </c>
      <c r="V46" s="11">
        <f t="shared" si="3"/>
        <v>0</v>
      </c>
      <c r="W46" s="11">
        <f t="shared" si="3"/>
        <v>0</v>
      </c>
      <c r="X46" s="11">
        <f t="shared" si="3"/>
        <v>0</v>
      </c>
      <c r="Y46" s="11">
        <f t="shared" si="3"/>
        <v>0</v>
      </c>
      <c r="Z46" s="11">
        <f t="shared" si="3"/>
        <v>0</v>
      </c>
      <c r="AA46" s="11">
        <f t="shared" si="3"/>
        <v>0</v>
      </c>
      <c r="AB46" s="11">
        <f t="shared" si="3"/>
        <v>0</v>
      </c>
      <c r="AC46" s="11">
        <f t="shared" si="3"/>
        <v>0</v>
      </c>
      <c r="AD46" s="11">
        <f t="shared" si="3"/>
        <v>0</v>
      </c>
      <c r="AE46" s="11">
        <f t="shared" si="3"/>
        <v>0</v>
      </c>
      <c r="AF46" s="11">
        <f t="shared" si="3"/>
        <v>0</v>
      </c>
      <c r="AG46" s="11">
        <f t="shared" si="3"/>
        <v>0</v>
      </c>
    </row>
    <row r="47" spans="1:33" s="3" customFormat="1" ht="18" customHeight="1">
      <c r="A47" s="98" t="s">
        <v>39</v>
      </c>
      <c r="B47" s="10"/>
      <c r="C47" s="10"/>
      <c r="D47" s="10">
        <f>D45+D46</f>
        <v>1655.6400000000006</v>
      </c>
      <c r="E47" s="10">
        <f aca="true" t="shared" si="4" ref="E47:AG47">E45+E46</f>
        <v>1713.2562720000005</v>
      </c>
      <c r="F47" s="10">
        <f t="shared" si="4"/>
        <v>1773.5332402620006</v>
      </c>
      <c r="G47" s="10">
        <f t="shared" si="4"/>
        <v>1836.589559103275</v>
      </c>
      <c r="H47" s="10">
        <f t="shared" si="4"/>
        <v>1902.5491946809987</v>
      </c>
      <c r="I47" s="10">
        <f t="shared" si="4"/>
        <v>1648.6094935630465</v>
      </c>
      <c r="J47" s="10">
        <f t="shared" si="4"/>
        <v>1722.3847683999923</v>
      </c>
      <c r="K47" s="10">
        <f t="shared" si="4"/>
        <v>1799.461486785892</v>
      </c>
      <c r="L47" s="10">
        <f t="shared" si="4"/>
        <v>1879.9873883195608</v>
      </c>
      <c r="M47" s="10">
        <f t="shared" si="4"/>
        <v>1964.1168239468611</v>
      </c>
      <c r="N47" s="10">
        <f t="shared" si="4"/>
        <v>2052.011051818483</v>
      </c>
      <c r="O47" s="10">
        <f t="shared" si="4"/>
        <v>2143.8385463873606</v>
      </c>
      <c r="P47" s="10">
        <f t="shared" si="4"/>
        <v>2239.7753213381948</v>
      </c>
      <c r="Q47" s="10">
        <f t="shared" si="4"/>
        <v>2340.0052669680795</v>
      </c>
      <c r="R47" s="10">
        <f t="shared" si="4"/>
        <v>2444.7205026649003</v>
      </c>
      <c r="S47" s="10">
        <f t="shared" si="4"/>
        <v>2554.121745159155</v>
      </c>
      <c r="T47" s="10">
        <f t="shared" si="4"/>
        <v>2668.418693255027</v>
      </c>
      <c r="U47" s="10">
        <f t="shared" si="4"/>
        <v>2787.8304297781897</v>
      </c>
      <c r="V47" s="10">
        <f t="shared" si="4"/>
        <v>2912.5858415107637</v>
      </c>
      <c r="W47" s="10">
        <f t="shared" si="4"/>
        <v>3042.924057918371</v>
      </c>
      <c r="X47" s="10">
        <f t="shared" si="4"/>
        <v>3179.0949095102173</v>
      </c>
      <c r="Y47" s="10">
        <f t="shared" si="4"/>
        <v>3321.3594067107992</v>
      </c>
      <c r="Z47" s="10">
        <f t="shared" si="4"/>
        <v>3469.9902401611075</v>
      </c>
      <c r="AA47" s="10">
        <f t="shared" si="4"/>
        <v>3625.272303408318</v>
      </c>
      <c r="AB47" s="10">
        <f t="shared" si="4"/>
        <v>3787.5032389858393</v>
      </c>
      <c r="AC47" s="10">
        <f t="shared" si="4"/>
        <v>0</v>
      </c>
      <c r="AD47" s="10">
        <f t="shared" si="4"/>
        <v>0</v>
      </c>
      <c r="AE47" s="10">
        <f t="shared" si="4"/>
        <v>0</v>
      </c>
      <c r="AF47" s="10">
        <f t="shared" si="4"/>
        <v>0</v>
      </c>
      <c r="AG47" s="10">
        <f t="shared" si="4"/>
        <v>0</v>
      </c>
    </row>
    <row r="48" spans="1:33" s="95" customFormat="1" ht="18" customHeight="1" hidden="1">
      <c r="A48" s="94" t="s">
        <v>41</v>
      </c>
      <c r="B48" s="45"/>
      <c r="C48" s="45"/>
      <c r="D48" s="57" t="str">
        <f aca="true" t="shared" si="5" ref="D48:AG48">IF(D$34=$B$30,"Yes",IF(D$34=$B$30*2,"Yes",IF(D$34=$B$30*3,"Yes",IF(D$34=$B$30*4,"Yes","No"))))</f>
        <v>No</v>
      </c>
      <c r="E48" s="57" t="str">
        <f t="shared" si="5"/>
        <v>No</v>
      </c>
      <c r="F48" s="57" t="str">
        <f t="shared" si="5"/>
        <v>No</v>
      </c>
      <c r="G48" s="57" t="str">
        <f t="shared" si="5"/>
        <v>No</v>
      </c>
      <c r="H48" s="57" t="str">
        <f t="shared" si="5"/>
        <v>No</v>
      </c>
      <c r="I48" s="57" t="str">
        <f t="shared" si="5"/>
        <v>No</v>
      </c>
      <c r="J48" s="57" t="str">
        <f t="shared" si="5"/>
        <v>No</v>
      </c>
      <c r="K48" s="57" t="str">
        <f t="shared" si="5"/>
        <v>No</v>
      </c>
      <c r="L48" s="57" t="str">
        <f t="shared" si="5"/>
        <v>No</v>
      </c>
      <c r="M48" s="57" t="str">
        <f t="shared" si="5"/>
        <v>No</v>
      </c>
      <c r="N48" s="57" t="str">
        <f t="shared" si="5"/>
        <v>No</v>
      </c>
      <c r="O48" s="57" t="str">
        <f t="shared" si="5"/>
        <v>No</v>
      </c>
      <c r="P48" s="57" t="str">
        <f t="shared" si="5"/>
        <v>No</v>
      </c>
      <c r="Q48" s="57" t="str">
        <f t="shared" si="5"/>
        <v>No</v>
      </c>
      <c r="R48" s="57" t="str">
        <f t="shared" si="5"/>
        <v>Yes</v>
      </c>
      <c r="S48" s="57" t="str">
        <f t="shared" si="5"/>
        <v>No</v>
      </c>
      <c r="T48" s="57" t="str">
        <f t="shared" si="5"/>
        <v>No</v>
      </c>
      <c r="U48" s="57" t="str">
        <f t="shared" si="5"/>
        <v>No</v>
      </c>
      <c r="V48" s="57" t="str">
        <f t="shared" si="5"/>
        <v>No</v>
      </c>
      <c r="W48" s="57" t="str">
        <f t="shared" si="5"/>
        <v>No</v>
      </c>
      <c r="X48" s="57" t="str">
        <f t="shared" si="5"/>
        <v>No</v>
      </c>
      <c r="Y48" s="57" t="str">
        <f t="shared" si="5"/>
        <v>No</v>
      </c>
      <c r="Z48" s="57" t="str">
        <f t="shared" si="5"/>
        <v>No</v>
      </c>
      <c r="AA48" s="57" t="str">
        <f t="shared" si="5"/>
        <v>No</v>
      </c>
      <c r="AB48" s="57" t="str">
        <f t="shared" si="5"/>
        <v>No</v>
      </c>
      <c r="AC48" s="57" t="str">
        <f t="shared" si="5"/>
        <v>No</v>
      </c>
      <c r="AD48" s="57" t="str">
        <f t="shared" si="5"/>
        <v>No</v>
      </c>
      <c r="AE48" s="57" t="str">
        <f t="shared" si="5"/>
        <v>No</v>
      </c>
      <c r="AF48" s="57" t="str">
        <f t="shared" si="5"/>
        <v>No</v>
      </c>
      <c r="AG48" s="57" t="str">
        <f t="shared" si="5"/>
        <v>Yes</v>
      </c>
    </row>
    <row r="49" spans="1:33" s="95" customFormat="1" ht="18" customHeight="1">
      <c r="A49" s="97" t="s">
        <v>77</v>
      </c>
      <c r="B49" s="45"/>
      <c r="C49" s="45"/>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row>
    <row r="50" spans="1:33" s="3" customFormat="1" ht="18" customHeight="1">
      <c r="A50" s="92" t="s">
        <v>40</v>
      </c>
      <c r="B50" s="10"/>
      <c r="C50" s="10"/>
      <c r="D50" s="10">
        <f aca="true" t="shared" si="6" ref="D50:AG50">IF(D$34&lt;=$B$21,-$B$27*(1+$B$28)^C$34,0)</f>
        <v>0</v>
      </c>
      <c r="E50" s="10">
        <f t="shared" si="6"/>
        <v>0</v>
      </c>
      <c r="F50" s="10">
        <f t="shared" si="6"/>
        <v>0</v>
      </c>
      <c r="G50" s="10">
        <f t="shared" si="6"/>
        <v>0</v>
      </c>
      <c r="H50" s="10">
        <f t="shared" si="6"/>
        <v>0</v>
      </c>
      <c r="I50" s="10">
        <f t="shared" si="6"/>
        <v>0</v>
      </c>
      <c r="J50" s="10">
        <f t="shared" si="6"/>
        <v>0</v>
      </c>
      <c r="K50" s="10">
        <f t="shared" si="6"/>
        <v>0</v>
      </c>
      <c r="L50" s="10">
        <f t="shared" si="6"/>
        <v>0</v>
      </c>
      <c r="M50" s="10">
        <f t="shared" si="6"/>
        <v>0</v>
      </c>
      <c r="N50" s="10">
        <f t="shared" si="6"/>
        <v>0</v>
      </c>
      <c r="O50" s="10">
        <f t="shared" si="6"/>
        <v>0</v>
      </c>
      <c r="P50" s="10">
        <f t="shared" si="6"/>
        <v>0</v>
      </c>
      <c r="Q50" s="10">
        <f t="shared" si="6"/>
        <v>0</v>
      </c>
      <c r="R50" s="10">
        <f t="shared" si="6"/>
        <v>0</v>
      </c>
      <c r="S50" s="10">
        <f t="shared" si="6"/>
        <v>0</v>
      </c>
      <c r="T50" s="10">
        <f t="shared" si="6"/>
        <v>0</v>
      </c>
      <c r="U50" s="10">
        <f t="shared" si="6"/>
        <v>0</v>
      </c>
      <c r="V50" s="10">
        <f t="shared" si="6"/>
        <v>0</v>
      </c>
      <c r="W50" s="10">
        <f t="shared" si="6"/>
        <v>0</v>
      </c>
      <c r="X50" s="10">
        <f t="shared" si="6"/>
        <v>0</v>
      </c>
      <c r="Y50" s="10">
        <f t="shared" si="6"/>
        <v>0</v>
      </c>
      <c r="Z50" s="10">
        <f t="shared" si="6"/>
        <v>0</v>
      </c>
      <c r="AA50" s="10">
        <f t="shared" si="6"/>
        <v>0</v>
      </c>
      <c r="AB50" s="10">
        <f t="shared" si="6"/>
        <v>0</v>
      </c>
      <c r="AC50" s="10">
        <f t="shared" si="6"/>
        <v>0</v>
      </c>
      <c r="AD50" s="10">
        <f t="shared" si="6"/>
        <v>0</v>
      </c>
      <c r="AE50" s="10">
        <f t="shared" si="6"/>
        <v>0</v>
      </c>
      <c r="AF50" s="10">
        <f t="shared" si="6"/>
        <v>0</v>
      </c>
      <c r="AG50" s="10">
        <f t="shared" si="6"/>
        <v>0</v>
      </c>
    </row>
    <row r="51" spans="1:33" s="3" customFormat="1" ht="18" customHeight="1">
      <c r="A51" s="92" t="s">
        <v>36</v>
      </c>
      <c r="B51" s="10"/>
      <c r="C51" s="10"/>
      <c r="D51" s="10">
        <f aca="true" t="shared" si="7" ref="D51:AG51">IF(D$34&lt;=$B$21,IF(D$48="Yes",-$B$29*$B$10,0),0)</f>
        <v>0</v>
      </c>
      <c r="E51" s="10">
        <f t="shared" si="7"/>
        <v>0</v>
      </c>
      <c r="F51" s="10">
        <f t="shared" si="7"/>
        <v>0</v>
      </c>
      <c r="G51" s="10">
        <f t="shared" si="7"/>
        <v>0</v>
      </c>
      <c r="H51" s="10">
        <f t="shared" si="7"/>
        <v>0</v>
      </c>
      <c r="I51" s="10">
        <f t="shared" si="7"/>
        <v>0</v>
      </c>
      <c r="J51" s="10">
        <f t="shared" si="7"/>
        <v>0</v>
      </c>
      <c r="K51" s="10">
        <f t="shared" si="7"/>
        <v>0</v>
      </c>
      <c r="L51" s="10">
        <f t="shared" si="7"/>
        <v>0</v>
      </c>
      <c r="M51" s="10">
        <f t="shared" si="7"/>
        <v>0</v>
      </c>
      <c r="N51" s="10">
        <f t="shared" si="7"/>
        <v>0</v>
      </c>
      <c r="O51" s="10">
        <f t="shared" si="7"/>
        <v>0</v>
      </c>
      <c r="P51" s="10">
        <f t="shared" si="7"/>
        <v>0</v>
      </c>
      <c r="Q51" s="10">
        <f t="shared" si="7"/>
        <v>0</v>
      </c>
      <c r="R51" s="10">
        <f t="shared" si="7"/>
        <v>-4050</v>
      </c>
      <c r="S51" s="10">
        <f t="shared" si="7"/>
        <v>0</v>
      </c>
      <c r="T51" s="10">
        <f t="shared" si="7"/>
        <v>0</v>
      </c>
      <c r="U51" s="10">
        <f t="shared" si="7"/>
        <v>0</v>
      </c>
      <c r="V51" s="10">
        <f t="shared" si="7"/>
        <v>0</v>
      </c>
      <c r="W51" s="10">
        <f t="shared" si="7"/>
        <v>0</v>
      </c>
      <c r="X51" s="10">
        <f t="shared" si="7"/>
        <v>0</v>
      </c>
      <c r="Y51" s="10">
        <f t="shared" si="7"/>
        <v>0</v>
      </c>
      <c r="Z51" s="10">
        <f t="shared" si="7"/>
        <v>0</v>
      </c>
      <c r="AA51" s="10">
        <f t="shared" si="7"/>
        <v>0</v>
      </c>
      <c r="AB51" s="10">
        <f t="shared" si="7"/>
        <v>0</v>
      </c>
      <c r="AC51" s="10">
        <f t="shared" si="7"/>
        <v>0</v>
      </c>
      <c r="AD51" s="10">
        <f t="shared" si="7"/>
        <v>0</v>
      </c>
      <c r="AE51" s="10">
        <f t="shared" si="7"/>
        <v>0</v>
      </c>
      <c r="AF51" s="10">
        <f t="shared" si="7"/>
        <v>0</v>
      </c>
      <c r="AG51" s="10">
        <f t="shared" si="7"/>
        <v>0</v>
      </c>
    </row>
    <row r="52" spans="1:33" s="36" customFormat="1" ht="18" customHeight="1">
      <c r="A52" s="93" t="s">
        <v>70</v>
      </c>
      <c r="B52" s="65"/>
      <c r="C52" s="24"/>
      <c r="D52" s="24">
        <f>D71</f>
        <v>0</v>
      </c>
      <c r="E52" s="24">
        <f aca="true" t="shared" si="8" ref="E52:AG52">E71</f>
        <v>0</v>
      </c>
      <c r="F52" s="24">
        <f t="shared" si="8"/>
        <v>0</v>
      </c>
      <c r="G52" s="24">
        <f t="shared" si="8"/>
        <v>0</v>
      </c>
      <c r="H52" s="24">
        <f t="shared" si="8"/>
        <v>0</v>
      </c>
      <c r="I52" s="24">
        <f t="shared" si="8"/>
        <v>0</v>
      </c>
      <c r="J52" s="24">
        <f t="shared" si="8"/>
        <v>0</v>
      </c>
      <c r="K52" s="24">
        <f t="shared" si="8"/>
        <v>0</v>
      </c>
      <c r="L52" s="24">
        <f t="shared" si="8"/>
        <v>0</v>
      </c>
      <c r="M52" s="24">
        <f t="shared" si="8"/>
        <v>0</v>
      </c>
      <c r="N52" s="24">
        <f t="shared" si="8"/>
        <v>0</v>
      </c>
      <c r="O52" s="24">
        <f t="shared" si="8"/>
        <v>0</v>
      </c>
      <c r="P52" s="24">
        <f t="shared" si="8"/>
        <v>0</v>
      </c>
      <c r="Q52" s="24">
        <f t="shared" si="8"/>
        <v>0</v>
      </c>
      <c r="R52" s="24">
        <f t="shared" si="8"/>
        <v>0</v>
      </c>
      <c r="S52" s="24">
        <f t="shared" si="8"/>
        <v>0</v>
      </c>
      <c r="T52" s="24">
        <f t="shared" si="8"/>
        <v>0</v>
      </c>
      <c r="U52" s="24">
        <f t="shared" si="8"/>
        <v>0</v>
      </c>
      <c r="V52" s="24">
        <f t="shared" si="8"/>
        <v>0</v>
      </c>
      <c r="W52" s="24">
        <f t="shared" si="8"/>
        <v>0</v>
      </c>
      <c r="X52" s="24">
        <f t="shared" si="8"/>
        <v>0</v>
      </c>
      <c r="Y52" s="24">
        <f t="shared" si="8"/>
        <v>0</v>
      </c>
      <c r="Z52" s="24">
        <f t="shared" si="8"/>
        <v>0</v>
      </c>
      <c r="AA52" s="24">
        <f t="shared" si="8"/>
        <v>0</v>
      </c>
      <c r="AB52" s="24">
        <f t="shared" si="8"/>
        <v>0</v>
      </c>
      <c r="AC52" s="24">
        <f t="shared" si="8"/>
        <v>0</v>
      </c>
      <c r="AD52" s="24">
        <f t="shared" si="8"/>
        <v>0</v>
      </c>
      <c r="AE52" s="24">
        <f t="shared" si="8"/>
        <v>0</v>
      </c>
      <c r="AF52" s="24">
        <f t="shared" si="8"/>
        <v>0</v>
      </c>
      <c r="AG52" s="24">
        <f t="shared" si="8"/>
        <v>0</v>
      </c>
    </row>
    <row r="53" spans="1:33" s="36" customFormat="1" ht="18" customHeight="1">
      <c r="A53" s="68" t="s">
        <v>78</v>
      </c>
      <c r="B53" s="65"/>
      <c r="C53" s="65"/>
      <c r="D53" s="65">
        <f>SUM(D50:D52)</f>
        <v>0</v>
      </c>
      <c r="E53" s="65">
        <f aca="true" t="shared" si="9" ref="E53:AG53">SUM(E50:E52)</f>
        <v>0</v>
      </c>
      <c r="F53" s="65">
        <f t="shared" si="9"/>
        <v>0</v>
      </c>
      <c r="G53" s="65">
        <f t="shared" si="9"/>
        <v>0</v>
      </c>
      <c r="H53" s="65">
        <f t="shared" si="9"/>
        <v>0</v>
      </c>
      <c r="I53" s="65">
        <f t="shared" si="9"/>
        <v>0</v>
      </c>
      <c r="J53" s="65">
        <f t="shared" si="9"/>
        <v>0</v>
      </c>
      <c r="K53" s="65">
        <f t="shared" si="9"/>
        <v>0</v>
      </c>
      <c r="L53" s="65">
        <f t="shared" si="9"/>
        <v>0</v>
      </c>
      <c r="M53" s="65">
        <f t="shared" si="9"/>
        <v>0</v>
      </c>
      <c r="N53" s="65">
        <f t="shared" si="9"/>
        <v>0</v>
      </c>
      <c r="O53" s="65">
        <f t="shared" si="9"/>
        <v>0</v>
      </c>
      <c r="P53" s="65">
        <f t="shared" si="9"/>
        <v>0</v>
      </c>
      <c r="Q53" s="65">
        <f t="shared" si="9"/>
        <v>0</v>
      </c>
      <c r="R53" s="65">
        <f t="shared" si="9"/>
        <v>-4050</v>
      </c>
      <c r="S53" s="65">
        <f t="shared" si="9"/>
        <v>0</v>
      </c>
      <c r="T53" s="65">
        <f t="shared" si="9"/>
        <v>0</v>
      </c>
      <c r="U53" s="65">
        <f t="shared" si="9"/>
        <v>0</v>
      </c>
      <c r="V53" s="65">
        <f t="shared" si="9"/>
        <v>0</v>
      </c>
      <c r="W53" s="65">
        <f t="shared" si="9"/>
        <v>0</v>
      </c>
      <c r="X53" s="65">
        <f t="shared" si="9"/>
        <v>0</v>
      </c>
      <c r="Y53" s="65">
        <f t="shared" si="9"/>
        <v>0</v>
      </c>
      <c r="Z53" s="65">
        <f t="shared" si="9"/>
        <v>0</v>
      </c>
      <c r="AA53" s="65">
        <f t="shared" si="9"/>
        <v>0</v>
      </c>
      <c r="AB53" s="65">
        <f t="shared" si="9"/>
        <v>0</v>
      </c>
      <c r="AC53" s="65">
        <f t="shared" si="9"/>
        <v>0</v>
      </c>
      <c r="AD53" s="65">
        <f t="shared" si="9"/>
        <v>0</v>
      </c>
      <c r="AE53" s="65">
        <f t="shared" si="9"/>
        <v>0</v>
      </c>
      <c r="AF53" s="65">
        <f t="shared" si="9"/>
        <v>0</v>
      </c>
      <c r="AG53" s="65">
        <f t="shared" si="9"/>
        <v>0</v>
      </c>
    </row>
    <row r="54" spans="1:33" ht="18" customHeight="1">
      <c r="A54" s="44"/>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row>
    <row r="55" spans="1:33" s="1" customFormat="1" ht="18" customHeight="1">
      <c r="A55" s="52" t="s">
        <v>58</v>
      </c>
      <c r="B55" s="48"/>
      <c r="C55" s="48">
        <f>C39</f>
        <v>-39150</v>
      </c>
      <c r="D55" s="48">
        <f>D43+D47+D53</f>
        <v>4655.64</v>
      </c>
      <c r="E55" s="48">
        <f aca="true" t="shared" si="10" ref="E55:AG55">E43+E47+E53</f>
        <v>1713.2562720000005</v>
      </c>
      <c r="F55" s="48">
        <f t="shared" si="10"/>
        <v>1773.5332402620006</v>
      </c>
      <c r="G55" s="48">
        <f t="shared" si="10"/>
        <v>1836.589559103275</v>
      </c>
      <c r="H55" s="48">
        <f t="shared" si="10"/>
        <v>1902.5491946809987</v>
      </c>
      <c r="I55" s="48">
        <f t="shared" si="10"/>
        <v>1648.6094935630465</v>
      </c>
      <c r="J55" s="48">
        <f t="shared" si="10"/>
        <v>1722.3847683999923</v>
      </c>
      <c r="K55" s="48">
        <f t="shared" si="10"/>
        <v>1799.461486785892</v>
      </c>
      <c r="L55" s="48">
        <f t="shared" si="10"/>
        <v>1879.9873883195608</v>
      </c>
      <c r="M55" s="48">
        <f t="shared" si="10"/>
        <v>1964.1168239468611</v>
      </c>
      <c r="N55" s="48">
        <f t="shared" si="10"/>
        <v>2052.011051818483</v>
      </c>
      <c r="O55" s="48">
        <f t="shared" si="10"/>
        <v>2143.8385463873606</v>
      </c>
      <c r="P55" s="48">
        <f t="shared" si="10"/>
        <v>2239.7753213381948</v>
      </c>
      <c r="Q55" s="48">
        <f t="shared" si="10"/>
        <v>2340.0052669680795</v>
      </c>
      <c r="R55" s="48">
        <f t="shared" si="10"/>
        <v>-1605.2794973350997</v>
      </c>
      <c r="S55" s="48">
        <f t="shared" si="10"/>
        <v>2554.121745159155</v>
      </c>
      <c r="T55" s="48">
        <f t="shared" si="10"/>
        <v>2668.418693255027</v>
      </c>
      <c r="U55" s="48">
        <f t="shared" si="10"/>
        <v>2787.8304297781897</v>
      </c>
      <c r="V55" s="48">
        <f t="shared" si="10"/>
        <v>2912.5858415107637</v>
      </c>
      <c r="W55" s="48">
        <f t="shared" si="10"/>
        <v>3042.924057918371</v>
      </c>
      <c r="X55" s="48">
        <f t="shared" si="10"/>
        <v>3179.0949095102173</v>
      </c>
      <c r="Y55" s="48">
        <f t="shared" si="10"/>
        <v>3321.3594067107992</v>
      </c>
      <c r="Z55" s="48">
        <f t="shared" si="10"/>
        <v>3469.9902401611075</v>
      </c>
      <c r="AA55" s="48">
        <f t="shared" si="10"/>
        <v>3625.272303408318</v>
      </c>
      <c r="AB55" s="48">
        <f t="shared" si="10"/>
        <v>3787.5032389858393</v>
      </c>
      <c r="AC55" s="48">
        <f t="shared" si="10"/>
        <v>0</v>
      </c>
      <c r="AD55" s="48">
        <f t="shared" si="10"/>
        <v>0</v>
      </c>
      <c r="AE55" s="48">
        <f t="shared" si="10"/>
        <v>0</v>
      </c>
      <c r="AF55" s="48">
        <f t="shared" si="10"/>
        <v>0</v>
      </c>
      <c r="AG55" s="48">
        <f t="shared" si="10"/>
        <v>0</v>
      </c>
    </row>
    <row r="56" spans="1:33" s="1" customFormat="1" ht="18" customHeight="1">
      <c r="A56" s="52" t="s">
        <v>57</v>
      </c>
      <c r="B56" s="48"/>
      <c r="C56" s="48">
        <f>C55</f>
        <v>-39150</v>
      </c>
      <c r="D56" s="48">
        <f>C56+D55</f>
        <v>-34494.36</v>
      </c>
      <c r="E56" s="48">
        <f aca="true" t="shared" si="11" ref="E56:J56">D56+E55</f>
        <v>-32781.103728</v>
      </c>
      <c r="F56" s="48">
        <f t="shared" si="11"/>
        <v>-31007.570487738</v>
      </c>
      <c r="G56" s="48">
        <f t="shared" si="11"/>
        <v>-29170.980928634726</v>
      </c>
      <c r="H56" s="48">
        <f t="shared" si="11"/>
        <v>-27268.431733953727</v>
      </c>
      <c r="I56" s="48">
        <f t="shared" si="11"/>
        <v>-25619.82224039068</v>
      </c>
      <c r="J56" s="48">
        <f t="shared" si="11"/>
        <v>-23897.43747199069</v>
      </c>
      <c r="K56" s="48">
        <f aca="true" t="shared" si="12" ref="K56:AG56">J56+K55</f>
        <v>-22097.975985204797</v>
      </c>
      <c r="L56" s="48">
        <f t="shared" si="12"/>
        <v>-20217.988596885236</v>
      </c>
      <c r="M56" s="48">
        <f t="shared" si="12"/>
        <v>-18253.871772938375</v>
      </c>
      <c r="N56" s="48">
        <f t="shared" si="12"/>
        <v>-16201.860721119892</v>
      </c>
      <c r="O56" s="48">
        <f t="shared" si="12"/>
        <v>-14058.022174732532</v>
      </c>
      <c r="P56" s="48">
        <f t="shared" si="12"/>
        <v>-11818.246853394337</v>
      </c>
      <c r="Q56" s="48">
        <f t="shared" si="12"/>
        <v>-9478.241586426258</v>
      </c>
      <c r="R56" s="48">
        <f t="shared" si="12"/>
        <v>-11083.521083761358</v>
      </c>
      <c r="S56" s="48">
        <f t="shared" si="12"/>
        <v>-8529.399338602203</v>
      </c>
      <c r="T56" s="48">
        <f t="shared" si="12"/>
        <v>-5860.980645347176</v>
      </c>
      <c r="U56" s="48">
        <f t="shared" si="12"/>
        <v>-3073.150215568986</v>
      </c>
      <c r="V56" s="48">
        <f t="shared" si="12"/>
        <v>-160.56437405822226</v>
      </c>
      <c r="W56" s="48">
        <f t="shared" si="12"/>
        <v>2882.359683860149</v>
      </c>
      <c r="X56" s="48">
        <f t="shared" si="12"/>
        <v>6061.454593370367</v>
      </c>
      <c r="Y56" s="48">
        <f t="shared" si="12"/>
        <v>9382.814000081165</v>
      </c>
      <c r="Z56" s="48">
        <f t="shared" si="12"/>
        <v>12852.804240242272</v>
      </c>
      <c r="AA56" s="48">
        <f t="shared" si="12"/>
        <v>16478.07654365059</v>
      </c>
      <c r="AB56" s="48">
        <f t="shared" si="12"/>
        <v>20265.57978263643</v>
      </c>
      <c r="AC56" s="48">
        <f t="shared" si="12"/>
        <v>20265.57978263643</v>
      </c>
      <c r="AD56" s="48">
        <f t="shared" si="12"/>
        <v>20265.57978263643</v>
      </c>
      <c r="AE56" s="48">
        <f t="shared" si="12"/>
        <v>20265.57978263643</v>
      </c>
      <c r="AF56" s="48">
        <f t="shared" si="12"/>
        <v>20265.57978263643</v>
      </c>
      <c r="AG56" s="48">
        <f t="shared" si="12"/>
        <v>20265.57978263643</v>
      </c>
    </row>
    <row r="57" spans="1:33" ht="18" customHeight="1">
      <c r="A57" s="52"/>
      <c r="B57" s="10"/>
      <c r="C57" s="48"/>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row>
    <row r="58" spans="1:33" ht="18" customHeight="1" hidden="1">
      <c r="A58" s="52" t="s">
        <v>48</v>
      </c>
      <c r="B58" s="10"/>
      <c r="C58" s="48"/>
      <c r="D58" s="58">
        <v>1</v>
      </c>
      <c r="E58" s="58">
        <v>2</v>
      </c>
      <c r="F58" s="58">
        <v>3</v>
      </c>
      <c r="G58" s="58">
        <v>4</v>
      </c>
      <c r="H58" s="58">
        <v>5</v>
      </c>
      <c r="I58" s="58">
        <v>6</v>
      </c>
      <c r="J58" s="58">
        <v>7</v>
      </c>
      <c r="K58" s="58">
        <v>8</v>
      </c>
      <c r="L58" s="58">
        <v>9</v>
      </c>
      <c r="M58" s="58">
        <v>10</v>
      </c>
      <c r="N58" s="58">
        <v>11</v>
      </c>
      <c r="O58" s="58">
        <v>12</v>
      </c>
      <c r="P58" s="58">
        <v>13</v>
      </c>
      <c r="Q58" s="58">
        <v>14</v>
      </c>
      <c r="R58" s="58">
        <v>15</v>
      </c>
      <c r="S58" s="58">
        <v>16</v>
      </c>
      <c r="T58" s="58">
        <v>17</v>
      </c>
      <c r="U58" s="58">
        <v>18</v>
      </c>
      <c r="V58" s="58">
        <v>19</v>
      </c>
      <c r="W58" s="58">
        <v>20</v>
      </c>
      <c r="X58" s="58">
        <v>21</v>
      </c>
      <c r="Y58" s="58">
        <v>22</v>
      </c>
      <c r="Z58" s="58">
        <v>23</v>
      </c>
      <c r="AA58" s="58">
        <v>24</v>
      </c>
      <c r="AB58" s="58">
        <v>25</v>
      </c>
      <c r="AC58" s="58">
        <v>26</v>
      </c>
      <c r="AD58" s="58">
        <v>27</v>
      </c>
      <c r="AE58" s="58">
        <v>28</v>
      </c>
      <c r="AF58" s="58">
        <v>29</v>
      </c>
      <c r="AG58" s="58">
        <v>30</v>
      </c>
    </row>
    <row r="59" spans="1:33" ht="18" customHeight="1" hidden="1">
      <c r="A59" s="17" t="s">
        <v>49</v>
      </c>
      <c r="B59" s="10"/>
      <c r="C59" s="10">
        <f>C55</f>
        <v>-39150</v>
      </c>
      <c r="D59" s="10">
        <f>C59+D55</f>
        <v>-34494.36</v>
      </c>
      <c r="E59" s="10">
        <f aca="true" t="shared" si="13" ref="E59:AG59">D59+E55</f>
        <v>-32781.103728</v>
      </c>
      <c r="F59" s="10">
        <f t="shared" si="13"/>
        <v>-31007.570487738</v>
      </c>
      <c r="G59" s="10">
        <f t="shared" si="13"/>
        <v>-29170.980928634726</v>
      </c>
      <c r="H59" s="10">
        <f t="shared" si="13"/>
        <v>-27268.431733953727</v>
      </c>
      <c r="I59" s="10">
        <f t="shared" si="13"/>
        <v>-25619.82224039068</v>
      </c>
      <c r="J59" s="10">
        <f t="shared" si="13"/>
        <v>-23897.43747199069</v>
      </c>
      <c r="K59" s="10">
        <f t="shared" si="13"/>
        <v>-22097.975985204797</v>
      </c>
      <c r="L59" s="10">
        <f t="shared" si="13"/>
        <v>-20217.988596885236</v>
      </c>
      <c r="M59" s="10">
        <f t="shared" si="13"/>
        <v>-18253.871772938375</v>
      </c>
      <c r="N59" s="10">
        <f t="shared" si="13"/>
        <v>-16201.860721119892</v>
      </c>
      <c r="O59" s="10">
        <f t="shared" si="13"/>
        <v>-14058.022174732532</v>
      </c>
      <c r="P59" s="10">
        <f t="shared" si="13"/>
        <v>-11818.246853394337</v>
      </c>
      <c r="Q59" s="10">
        <f t="shared" si="13"/>
        <v>-9478.241586426258</v>
      </c>
      <c r="R59" s="10">
        <f t="shared" si="13"/>
        <v>-11083.521083761358</v>
      </c>
      <c r="S59" s="10">
        <f t="shared" si="13"/>
        <v>-8529.399338602203</v>
      </c>
      <c r="T59" s="10">
        <f t="shared" si="13"/>
        <v>-5860.980645347176</v>
      </c>
      <c r="U59" s="10">
        <f t="shared" si="13"/>
        <v>-3073.150215568986</v>
      </c>
      <c r="V59" s="10">
        <f t="shared" si="13"/>
        <v>-160.56437405822226</v>
      </c>
      <c r="W59" s="10">
        <f t="shared" si="13"/>
        <v>2882.359683860149</v>
      </c>
      <c r="X59" s="10">
        <f t="shared" si="13"/>
        <v>6061.454593370367</v>
      </c>
      <c r="Y59" s="10">
        <f t="shared" si="13"/>
        <v>9382.814000081165</v>
      </c>
      <c r="Z59" s="10">
        <f t="shared" si="13"/>
        <v>12852.804240242272</v>
      </c>
      <c r="AA59" s="10">
        <f t="shared" si="13"/>
        <v>16478.07654365059</v>
      </c>
      <c r="AB59" s="10">
        <f t="shared" si="13"/>
        <v>20265.57978263643</v>
      </c>
      <c r="AC59" s="10">
        <f t="shared" si="13"/>
        <v>20265.57978263643</v>
      </c>
      <c r="AD59" s="10">
        <f t="shared" si="13"/>
        <v>20265.57978263643</v>
      </c>
      <c r="AE59" s="10">
        <f t="shared" si="13"/>
        <v>20265.57978263643</v>
      </c>
      <c r="AF59" s="10">
        <f t="shared" si="13"/>
        <v>20265.57978263643</v>
      </c>
      <c r="AG59" s="10">
        <f t="shared" si="13"/>
        <v>20265.57978263643</v>
      </c>
    </row>
    <row r="60" spans="1:33" ht="18" customHeight="1" hidden="1">
      <c r="A60" s="44"/>
      <c r="B60" s="51" t="s">
        <v>50</v>
      </c>
      <c r="C60" s="59">
        <f>MIN(D60:AG60)</f>
        <v>20</v>
      </c>
      <c r="D60" s="10">
        <f>IF(AND(D59&gt;0,C59&lt;=0),D58,"")</f>
      </c>
      <c r="E60" s="10">
        <f aca="true" t="shared" si="14" ref="E60:AG60">IF(AND(E59&gt;0,D59&lt;0),E58,"")</f>
      </c>
      <c r="F60" s="10">
        <f t="shared" si="14"/>
      </c>
      <c r="G60" s="58">
        <f t="shared" si="14"/>
      </c>
      <c r="H60" s="10">
        <f t="shared" si="14"/>
      </c>
      <c r="I60" s="10">
        <f t="shared" si="14"/>
      </c>
      <c r="J60" s="10">
        <f t="shared" si="14"/>
      </c>
      <c r="K60" s="10">
        <f t="shared" si="14"/>
      </c>
      <c r="L60" s="10">
        <f t="shared" si="14"/>
      </c>
      <c r="M60" s="10">
        <f t="shared" si="14"/>
      </c>
      <c r="N60" s="10">
        <f t="shared" si="14"/>
      </c>
      <c r="O60" s="10">
        <f t="shared" si="14"/>
      </c>
      <c r="P60" s="10">
        <f t="shared" si="14"/>
      </c>
      <c r="Q60" s="10">
        <f t="shared" si="14"/>
      </c>
      <c r="R60" s="10">
        <f t="shared" si="14"/>
      </c>
      <c r="S60" s="10">
        <f t="shared" si="14"/>
      </c>
      <c r="T60" s="10">
        <f t="shared" si="14"/>
      </c>
      <c r="U60" s="10">
        <f t="shared" si="14"/>
      </c>
      <c r="V60" s="10">
        <f t="shared" si="14"/>
      </c>
      <c r="W60" s="10">
        <f t="shared" si="14"/>
        <v>20</v>
      </c>
      <c r="X60" s="10">
        <f t="shared" si="14"/>
      </c>
      <c r="Y60" s="10">
        <f t="shared" si="14"/>
      </c>
      <c r="Z60" s="10">
        <f t="shared" si="14"/>
      </c>
      <c r="AA60" s="10">
        <f t="shared" si="14"/>
      </c>
      <c r="AB60" s="10">
        <f t="shared" si="14"/>
      </c>
      <c r="AC60" s="10">
        <f t="shared" si="14"/>
      </c>
      <c r="AD60" s="10">
        <f t="shared" si="14"/>
      </c>
      <c r="AE60" s="10">
        <f t="shared" si="14"/>
      </c>
      <c r="AF60" s="10">
        <f t="shared" si="14"/>
      </c>
      <c r="AG60" s="10">
        <f t="shared" si="14"/>
      </c>
    </row>
    <row r="61" spans="1:33" ht="18" customHeight="1" hidden="1">
      <c r="A61" s="44"/>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row>
    <row r="62" spans="1:33" ht="18" customHeight="1">
      <c r="A62" s="47"/>
      <c r="B62" s="10"/>
      <c r="C62" s="48"/>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row>
    <row r="63" spans="1:33" ht="18" customHeight="1" hidden="1">
      <c r="A63" s="47" t="s">
        <v>48</v>
      </c>
      <c r="B63" s="10"/>
      <c r="C63" s="48"/>
      <c r="D63" s="58">
        <v>1</v>
      </c>
      <c r="E63" s="58">
        <v>2</v>
      </c>
      <c r="F63" s="58">
        <v>3</v>
      </c>
      <c r="G63" s="58">
        <v>4</v>
      </c>
      <c r="H63" s="58">
        <v>5</v>
      </c>
      <c r="I63" s="58">
        <v>6</v>
      </c>
      <c r="J63" s="58">
        <v>7</v>
      </c>
      <c r="K63" s="58">
        <v>8</v>
      </c>
      <c r="L63" s="58">
        <v>9</v>
      </c>
      <c r="M63" s="58">
        <v>10</v>
      </c>
      <c r="N63" s="58">
        <v>11</v>
      </c>
      <c r="O63" s="58">
        <v>12</v>
      </c>
      <c r="P63" s="58">
        <v>13</v>
      </c>
      <c r="Q63" s="58">
        <v>14</v>
      </c>
      <c r="R63" s="58">
        <v>15</v>
      </c>
      <c r="S63" s="58">
        <v>16</v>
      </c>
      <c r="T63" s="58">
        <v>17</v>
      </c>
      <c r="U63" s="58">
        <v>18</v>
      </c>
      <c r="V63" s="58">
        <v>19</v>
      </c>
      <c r="W63" s="58">
        <v>20</v>
      </c>
      <c r="X63" s="58">
        <v>21</v>
      </c>
      <c r="Y63" s="58">
        <v>22</v>
      </c>
      <c r="Z63" s="58">
        <v>23</v>
      </c>
      <c r="AA63" s="58">
        <v>24</v>
      </c>
      <c r="AB63" s="58">
        <v>25</v>
      </c>
      <c r="AC63" s="58">
        <v>26</v>
      </c>
      <c r="AD63" s="58">
        <v>27</v>
      </c>
      <c r="AE63" s="58">
        <v>28</v>
      </c>
      <c r="AF63" s="58">
        <v>29</v>
      </c>
      <c r="AG63" s="58">
        <v>30</v>
      </c>
    </row>
    <row r="64" spans="1:33" ht="18" customHeight="1" hidden="1">
      <c r="A64" s="44" t="s">
        <v>49</v>
      </c>
      <c r="B64" s="10"/>
      <c r="C64" s="10" t="e">
        <f>#REF!</f>
        <v>#REF!</v>
      </c>
      <c r="D64" s="10" t="e">
        <f>C64+#REF!</f>
        <v>#REF!</v>
      </c>
      <c r="E64" s="10" t="e">
        <f>D64+#REF!</f>
        <v>#REF!</v>
      </c>
      <c r="F64" s="10" t="e">
        <f>E64+#REF!</f>
        <v>#REF!</v>
      </c>
      <c r="G64" s="10" t="e">
        <f>F64+#REF!</f>
        <v>#REF!</v>
      </c>
      <c r="H64" s="10" t="e">
        <f>G64+#REF!</f>
        <v>#REF!</v>
      </c>
      <c r="I64" s="10" t="e">
        <f>H64+#REF!</f>
        <v>#REF!</v>
      </c>
      <c r="J64" s="10" t="e">
        <f>I64+#REF!</f>
        <v>#REF!</v>
      </c>
      <c r="K64" s="10" t="e">
        <f>J64+#REF!</f>
        <v>#REF!</v>
      </c>
      <c r="L64" s="10" t="e">
        <f>K64+#REF!</f>
        <v>#REF!</v>
      </c>
      <c r="M64" s="10" t="e">
        <f>L64+#REF!</f>
        <v>#REF!</v>
      </c>
      <c r="N64" s="10" t="e">
        <f>M64+#REF!</f>
        <v>#REF!</v>
      </c>
      <c r="O64" s="10" t="e">
        <f>N64+#REF!</f>
        <v>#REF!</v>
      </c>
      <c r="P64" s="10" t="e">
        <f>O64+#REF!</f>
        <v>#REF!</v>
      </c>
      <c r="Q64" s="10" t="e">
        <f>P64+#REF!</f>
        <v>#REF!</v>
      </c>
      <c r="R64" s="10" t="e">
        <f>Q64+#REF!</f>
        <v>#REF!</v>
      </c>
      <c r="S64" s="10" t="e">
        <f>R64+#REF!</f>
        <v>#REF!</v>
      </c>
      <c r="T64" s="10" t="e">
        <f>S64+#REF!</f>
        <v>#REF!</v>
      </c>
      <c r="U64" s="10" t="e">
        <f>T64+#REF!</f>
        <v>#REF!</v>
      </c>
      <c r="V64" s="10" t="e">
        <f>U64+#REF!</f>
        <v>#REF!</v>
      </c>
      <c r="W64" s="10" t="e">
        <f>V64+#REF!</f>
        <v>#REF!</v>
      </c>
      <c r="X64" s="10" t="e">
        <f>W64+#REF!</f>
        <v>#REF!</v>
      </c>
      <c r="Y64" s="10" t="e">
        <f>X64+#REF!</f>
        <v>#REF!</v>
      </c>
      <c r="Z64" s="10" t="e">
        <f>Y64+#REF!</f>
        <v>#REF!</v>
      </c>
      <c r="AA64" s="10" t="e">
        <f>Z64+#REF!</f>
        <v>#REF!</v>
      </c>
      <c r="AB64" s="10" t="e">
        <f>AA64+#REF!</f>
        <v>#REF!</v>
      </c>
      <c r="AC64" s="10" t="e">
        <f>AB64+#REF!</f>
        <v>#REF!</v>
      </c>
      <c r="AD64" s="10" t="e">
        <f>AC64+#REF!</f>
        <v>#REF!</v>
      </c>
      <c r="AE64" s="10" t="e">
        <f>AD64+#REF!</f>
        <v>#REF!</v>
      </c>
      <c r="AF64" s="10" t="e">
        <f>AE64+#REF!</f>
        <v>#REF!</v>
      </c>
      <c r="AG64" s="10" t="e">
        <f>AF64+#REF!</f>
        <v>#REF!</v>
      </c>
    </row>
    <row r="65" spans="1:33" ht="18" customHeight="1" hidden="1">
      <c r="A65" s="44"/>
      <c r="B65" s="51" t="s">
        <v>50</v>
      </c>
      <c r="C65" s="59" t="e">
        <f>MIN(D65:AG65)</f>
        <v>#REF!</v>
      </c>
      <c r="D65" s="10" t="e">
        <f>IF(AND(D64&gt;0,C64&lt;=0),D63,"")</f>
        <v>#REF!</v>
      </c>
      <c r="E65" s="10" t="e">
        <f aca="true" t="shared" si="15" ref="E65:AG65">IF(AND(E64&gt;0,D64&lt;0),E63,"")</f>
        <v>#REF!</v>
      </c>
      <c r="F65" s="10" t="e">
        <f t="shared" si="15"/>
        <v>#REF!</v>
      </c>
      <c r="G65" s="58" t="e">
        <f t="shared" si="15"/>
        <v>#REF!</v>
      </c>
      <c r="H65" s="10" t="e">
        <f t="shared" si="15"/>
        <v>#REF!</v>
      </c>
      <c r="I65" s="10" t="e">
        <f t="shared" si="15"/>
        <v>#REF!</v>
      </c>
      <c r="J65" s="10" t="e">
        <f t="shared" si="15"/>
        <v>#REF!</v>
      </c>
      <c r="K65" s="10" t="e">
        <f t="shared" si="15"/>
        <v>#REF!</v>
      </c>
      <c r="L65" s="10" t="e">
        <f t="shared" si="15"/>
        <v>#REF!</v>
      </c>
      <c r="M65" s="10" t="e">
        <f t="shared" si="15"/>
        <v>#REF!</v>
      </c>
      <c r="N65" s="10" t="e">
        <f t="shared" si="15"/>
        <v>#REF!</v>
      </c>
      <c r="O65" s="10" t="e">
        <f t="shared" si="15"/>
        <v>#REF!</v>
      </c>
      <c r="P65" s="10" t="e">
        <f t="shared" si="15"/>
        <v>#REF!</v>
      </c>
      <c r="Q65" s="10" t="e">
        <f t="shared" si="15"/>
        <v>#REF!</v>
      </c>
      <c r="R65" s="10" t="e">
        <f t="shared" si="15"/>
        <v>#REF!</v>
      </c>
      <c r="S65" s="10" t="e">
        <f t="shared" si="15"/>
        <v>#REF!</v>
      </c>
      <c r="T65" s="10" t="e">
        <f t="shared" si="15"/>
        <v>#REF!</v>
      </c>
      <c r="U65" s="10" t="e">
        <f t="shared" si="15"/>
        <v>#REF!</v>
      </c>
      <c r="V65" s="10" t="e">
        <f t="shared" si="15"/>
        <v>#REF!</v>
      </c>
      <c r="W65" s="10" t="e">
        <f t="shared" si="15"/>
        <v>#REF!</v>
      </c>
      <c r="X65" s="10" t="e">
        <f t="shared" si="15"/>
        <v>#REF!</v>
      </c>
      <c r="Y65" s="10" t="e">
        <f t="shared" si="15"/>
        <v>#REF!</v>
      </c>
      <c r="Z65" s="10" t="e">
        <f t="shared" si="15"/>
        <v>#REF!</v>
      </c>
      <c r="AA65" s="10" t="e">
        <f t="shared" si="15"/>
        <v>#REF!</v>
      </c>
      <c r="AB65" s="10" t="e">
        <f t="shared" si="15"/>
        <v>#REF!</v>
      </c>
      <c r="AC65" s="10" t="e">
        <f t="shared" si="15"/>
        <v>#REF!</v>
      </c>
      <c r="AD65" s="10" t="e">
        <f t="shared" si="15"/>
        <v>#REF!</v>
      </c>
      <c r="AE65" s="10" t="e">
        <f t="shared" si="15"/>
        <v>#REF!</v>
      </c>
      <c r="AF65" s="10" t="e">
        <f t="shared" si="15"/>
        <v>#REF!</v>
      </c>
      <c r="AG65" s="10" t="e">
        <f t="shared" si="15"/>
        <v>#REF!</v>
      </c>
    </row>
    <row r="66" spans="1:33" ht="18" customHeight="1" hidden="1">
      <c r="A66" s="44"/>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row>
    <row r="67" spans="1:23" s="62" customFormat="1" ht="26.25">
      <c r="A67" s="163" t="s">
        <v>56</v>
      </c>
      <c r="B67" s="163"/>
      <c r="C67" s="163"/>
      <c r="D67" s="163"/>
      <c r="E67" s="163"/>
      <c r="F67" s="163"/>
      <c r="G67" s="163"/>
      <c r="H67" s="163"/>
      <c r="I67" s="163"/>
      <c r="J67" s="163"/>
      <c r="K67" s="163"/>
      <c r="L67" s="163"/>
      <c r="M67" s="163"/>
      <c r="N67" s="164"/>
      <c r="O67" s="164"/>
      <c r="P67" s="164"/>
      <c r="Q67" s="164"/>
      <c r="R67" s="164"/>
      <c r="S67" s="164"/>
      <c r="T67" s="164"/>
      <c r="U67" s="164"/>
      <c r="V67" s="164"/>
      <c r="W67" s="164"/>
    </row>
    <row r="68" spans="3:33" ht="15.75">
      <c r="C68" s="9"/>
      <c r="D68" s="37" t="s">
        <v>1</v>
      </c>
      <c r="E68" s="37" t="s">
        <v>1</v>
      </c>
      <c r="F68" s="37" t="s">
        <v>1</v>
      </c>
      <c r="G68" s="37" t="s">
        <v>1</v>
      </c>
      <c r="H68" s="37" t="s">
        <v>1</v>
      </c>
      <c r="I68" s="37" t="s">
        <v>1</v>
      </c>
      <c r="J68" s="37" t="s">
        <v>1</v>
      </c>
      <c r="K68" s="37" t="s">
        <v>1</v>
      </c>
      <c r="L68" s="37" t="s">
        <v>1</v>
      </c>
      <c r="M68" s="37" t="s">
        <v>1</v>
      </c>
      <c r="N68" s="37" t="s">
        <v>1</v>
      </c>
      <c r="O68" s="37" t="s">
        <v>1</v>
      </c>
      <c r="P68" s="37" t="s">
        <v>1</v>
      </c>
      <c r="Q68" s="37" t="s">
        <v>1</v>
      </c>
      <c r="R68" s="37" t="s">
        <v>1</v>
      </c>
      <c r="S68" s="37" t="s">
        <v>1</v>
      </c>
      <c r="T68" s="37" t="s">
        <v>1</v>
      </c>
      <c r="U68" s="37" t="s">
        <v>1</v>
      </c>
      <c r="V68" s="37" t="s">
        <v>1</v>
      </c>
      <c r="W68" s="37" t="s">
        <v>1</v>
      </c>
      <c r="X68" s="37" t="s">
        <v>1</v>
      </c>
      <c r="Y68" s="37" t="s">
        <v>1</v>
      </c>
      <c r="Z68" s="37" t="s">
        <v>1</v>
      </c>
      <c r="AA68" s="37" t="s">
        <v>1</v>
      </c>
      <c r="AB68" s="37" t="s">
        <v>1</v>
      </c>
      <c r="AC68" s="37" t="s">
        <v>1</v>
      </c>
      <c r="AD68" s="37" t="s">
        <v>1</v>
      </c>
      <c r="AE68" s="37" t="s">
        <v>1</v>
      </c>
      <c r="AF68" s="37" t="s">
        <v>1</v>
      </c>
      <c r="AG68" s="37" t="s">
        <v>1</v>
      </c>
    </row>
    <row r="69" spans="1:33" ht="15.75">
      <c r="A69" s="1" t="s">
        <v>66</v>
      </c>
      <c r="C69" s="9"/>
      <c r="D69" s="60">
        <v>1</v>
      </c>
      <c r="E69" s="60">
        <v>2</v>
      </c>
      <c r="F69" s="60">
        <v>3</v>
      </c>
      <c r="G69" s="60">
        <v>4</v>
      </c>
      <c r="H69" s="60">
        <v>5</v>
      </c>
      <c r="I69" s="60">
        <v>6</v>
      </c>
      <c r="J69" s="60">
        <v>7</v>
      </c>
      <c r="K69" s="60">
        <v>8</v>
      </c>
      <c r="L69" s="60">
        <v>9</v>
      </c>
      <c r="M69" s="60">
        <v>10</v>
      </c>
      <c r="N69" s="60">
        <v>11</v>
      </c>
      <c r="O69" s="60">
        <v>12</v>
      </c>
      <c r="P69" s="60">
        <v>13</v>
      </c>
      <c r="Q69" s="60">
        <v>14</v>
      </c>
      <c r="R69" s="60">
        <v>15</v>
      </c>
      <c r="S69" s="60">
        <v>16</v>
      </c>
      <c r="T69" s="60">
        <v>17</v>
      </c>
      <c r="U69" s="60">
        <v>18</v>
      </c>
      <c r="V69" s="60">
        <v>19</v>
      </c>
      <c r="W69" s="60">
        <v>20</v>
      </c>
      <c r="X69" s="60">
        <v>21</v>
      </c>
      <c r="Y69" s="60">
        <v>22</v>
      </c>
      <c r="Z69" s="60">
        <v>23</v>
      </c>
      <c r="AA69" s="60">
        <v>24</v>
      </c>
      <c r="AB69" s="60">
        <v>25</v>
      </c>
      <c r="AC69" s="60">
        <v>26</v>
      </c>
      <c r="AD69" s="60">
        <v>27</v>
      </c>
      <c r="AE69" s="60">
        <v>28</v>
      </c>
      <c r="AF69" s="60">
        <v>29</v>
      </c>
      <c r="AG69" s="60">
        <v>30</v>
      </c>
    </row>
    <row r="70" spans="1:33" ht="15">
      <c r="A70" s="2" t="s">
        <v>43</v>
      </c>
      <c r="C70" s="9"/>
      <c r="D70" s="9">
        <f>$K$13</f>
        <v>0</v>
      </c>
      <c r="E70" s="9">
        <f>D74</f>
        <v>0</v>
      </c>
      <c r="F70" s="9">
        <f aca="true" t="shared" si="16" ref="F70:AG70">E74</f>
        <v>0</v>
      </c>
      <c r="G70" s="9">
        <f t="shared" si="16"/>
        <v>0</v>
      </c>
      <c r="H70" s="9">
        <f t="shared" si="16"/>
        <v>0</v>
      </c>
      <c r="I70" s="9">
        <f t="shared" si="16"/>
        <v>0</v>
      </c>
      <c r="J70" s="9">
        <f t="shared" si="16"/>
        <v>0</v>
      </c>
      <c r="K70" s="9">
        <f t="shared" si="16"/>
        <v>0</v>
      </c>
      <c r="L70" s="9">
        <f t="shared" si="16"/>
        <v>0</v>
      </c>
      <c r="M70" s="9">
        <f t="shared" si="16"/>
        <v>0</v>
      </c>
      <c r="N70" s="9">
        <f t="shared" si="16"/>
        <v>0</v>
      </c>
      <c r="O70" s="9">
        <f t="shared" si="16"/>
        <v>0</v>
      </c>
      <c r="P70" s="9">
        <f t="shared" si="16"/>
        <v>0</v>
      </c>
      <c r="Q70" s="9">
        <f t="shared" si="16"/>
        <v>0</v>
      </c>
      <c r="R70" s="9">
        <f t="shared" si="16"/>
        <v>0</v>
      </c>
      <c r="S70" s="9">
        <f t="shared" si="16"/>
        <v>0</v>
      </c>
      <c r="T70" s="9">
        <f t="shared" si="16"/>
        <v>0</v>
      </c>
      <c r="U70" s="9">
        <f t="shared" si="16"/>
        <v>0</v>
      </c>
      <c r="V70" s="9">
        <f t="shared" si="16"/>
        <v>0</v>
      </c>
      <c r="W70" s="9">
        <f t="shared" si="16"/>
        <v>0</v>
      </c>
      <c r="X70" s="9">
        <f t="shared" si="16"/>
        <v>0</v>
      </c>
      <c r="Y70" s="9">
        <f t="shared" si="16"/>
        <v>0</v>
      </c>
      <c r="Z70" s="9">
        <f t="shared" si="16"/>
        <v>0</v>
      </c>
      <c r="AA70" s="9">
        <f t="shared" si="16"/>
        <v>0</v>
      </c>
      <c r="AB70" s="9">
        <f t="shared" si="16"/>
        <v>0</v>
      </c>
      <c r="AC70" s="9">
        <f t="shared" si="16"/>
        <v>0</v>
      </c>
      <c r="AD70" s="9">
        <f t="shared" si="16"/>
        <v>0</v>
      </c>
      <c r="AE70" s="9">
        <f t="shared" si="16"/>
        <v>0</v>
      </c>
      <c r="AF70" s="9">
        <f t="shared" si="16"/>
        <v>0</v>
      </c>
      <c r="AG70" s="9">
        <f t="shared" si="16"/>
        <v>0</v>
      </c>
    </row>
    <row r="71" spans="1:33" ht="15">
      <c r="A71" s="2" t="s">
        <v>44</v>
      </c>
      <c r="C71" s="9"/>
      <c r="D71" s="9">
        <f aca="true" t="shared" si="17" ref="D71:AG71">IF(D$69&lt;=$K$11,PMT($K$10,$K$11,$D$70),0)</f>
        <v>0</v>
      </c>
      <c r="E71" s="9">
        <f t="shared" si="17"/>
        <v>0</v>
      </c>
      <c r="F71" s="9">
        <f t="shared" si="17"/>
        <v>0</v>
      </c>
      <c r="G71" s="9">
        <f t="shared" si="17"/>
        <v>0</v>
      </c>
      <c r="H71" s="9">
        <f t="shared" si="17"/>
        <v>0</v>
      </c>
      <c r="I71" s="9">
        <f t="shared" si="17"/>
        <v>0</v>
      </c>
      <c r="J71" s="9">
        <f t="shared" si="17"/>
        <v>0</v>
      </c>
      <c r="K71" s="9">
        <f t="shared" si="17"/>
        <v>0</v>
      </c>
      <c r="L71" s="9">
        <f t="shared" si="17"/>
        <v>0</v>
      </c>
      <c r="M71" s="9">
        <f t="shared" si="17"/>
        <v>0</v>
      </c>
      <c r="N71" s="9">
        <f t="shared" si="17"/>
        <v>0</v>
      </c>
      <c r="O71" s="9">
        <f t="shared" si="17"/>
        <v>0</v>
      </c>
      <c r="P71" s="9">
        <f t="shared" si="17"/>
        <v>0</v>
      </c>
      <c r="Q71" s="9">
        <f t="shared" si="17"/>
        <v>0</v>
      </c>
      <c r="R71" s="9">
        <f t="shared" si="17"/>
        <v>0</v>
      </c>
      <c r="S71" s="9">
        <f t="shared" si="17"/>
        <v>0</v>
      </c>
      <c r="T71" s="9">
        <f t="shared" si="17"/>
        <v>0</v>
      </c>
      <c r="U71" s="9">
        <f t="shared" si="17"/>
        <v>0</v>
      </c>
      <c r="V71" s="9">
        <f t="shared" si="17"/>
        <v>0</v>
      </c>
      <c r="W71" s="9">
        <f t="shared" si="17"/>
        <v>0</v>
      </c>
      <c r="X71" s="9">
        <f t="shared" si="17"/>
        <v>0</v>
      </c>
      <c r="Y71" s="9">
        <f t="shared" si="17"/>
        <v>0</v>
      </c>
      <c r="Z71" s="9">
        <f t="shared" si="17"/>
        <v>0</v>
      </c>
      <c r="AA71" s="9">
        <f t="shared" si="17"/>
        <v>0</v>
      </c>
      <c r="AB71" s="9">
        <f t="shared" si="17"/>
        <v>0</v>
      </c>
      <c r="AC71" s="9">
        <f t="shared" si="17"/>
        <v>0</v>
      </c>
      <c r="AD71" s="9">
        <f t="shared" si="17"/>
        <v>0</v>
      </c>
      <c r="AE71" s="9">
        <f t="shared" si="17"/>
        <v>0</v>
      </c>
      <c r="AF71" s="9">
        <f t="shared" si="17"/>
        <v>0</v>
      </c>
      <c r="AG71" s="9">
        <f t="shared" si="17"/>
        <v>0</v>
      </c>
    </row>
    <row r="72" spans="1:33" ht="15">
      <c r="A72" s="2" t="s">
        <v>45</v>
      </c>
      <c r="C72" s="9"/>
      <c r="D72" s="9">
        <f>D71-D73</f>
        <v>0</v>
      </c>
      <c r="E72" s="9">
        <f aca="true" t="shared" si="18" ref="E72:AG72">E71-E73</f>
        <v>0</v>
      </c>
      <c r="F72" s="9">
        <f t="shared" si="18"/>
        <v>0</v>
      </c>
      <c r="G72" s="9">
        <f t="shared" si="18"/>
        <v>0</v>
      </c>
      <c r="H72" s="9">
        <f t="shared" si="18"/>
        <v>0</v>
      </c>
      <c r="I72" s="9">
        <f t="shared" si="18"/>
        <v>0</v>
      </c>
      <c r="J72" s="9">
        <f t="shared" si="18"/>
        <v>0</v>
      </c>
      <c r="K72" s="9">
        <f t="shared" si="18"/>
        <v>0</v>
      </c>
      <c r="L72" s="9">
        <f t="shared" si="18"/>
        <v>0</v>
      </c>
      <c r="M72" s="9">
        <f t="shared" si="18"/>
        <v>0</v>
      </c>
      <c r="N72" s="9">
        <f t="shared" si="18"/>
        <v>0</v>
      </c>
      <c r="O72" s="9">
        <f t="shared" si="18"/>
        <v>0</v>
      </c>
      <c r="P72" s="9">
        <f t="shared" si="18"/>
        <v>0</v>
      </c>
      <c r="Q72" s="9">
        <f t="shared" si="18"/>
        <v>0</v>
      </c>
      <c r="R72" s="9">
        <f t="shared" si="18"/>
        <v>0</v>
      </c>
      <c r="S72" s="9">
        <f t="shared" si="18"/>
        <v>0</v>
      </c>
      <c r="T72" s="9">
        <f t="shared" si="18"/>
        <v>0</v>
      </c>
      <c r="U72" s="9">
        <f t="shared" si="18"/>
        <v>0</v>
      </c>
      <c r="V72" s="9">
        <f t="shared" si="18"/>
        <v>0</v>
      </c>
      <c r="W72" s="9">
        <f t="shared" si="18"/>
        <v>0</v>
      </c>
      <c r="X72" s="9">
        <f t="shared" si="18"/>
        <v>0</v>
      </c>
      <c r="Y72" s="9">
        <f t="shared" si="18"/>
        <v>0</v>
      </c>
      <c r="Z72" s="9">
        <f t="shared" si="18"/>
        <v>0</v>
      </c>
      <c r="AA72" s="9">
        <f t="shared" si="18"/>
        <v>0</v>
      </c>
      <c r="AB72" s="9">
        <f t="shared" si="18"/>
        <v>0</v>
      </c>
      <c r="AC72" s="9">
        <f t="shared" si="18"/>
        <v>0</v>
      </c>
      <c r="AD72" s="9">
        <f t="shared" si="18"/>
        <v>0</v>
      </c>
      <c r="AE72" s="9">
        <f t="shared" si="18"/>
        <v>0</v>
      </c>
      <c r="AF72" s="9">
        <f t="shared" si="18"/>
        <v>0</v>
      </c>
      <c r="AG72" s="9">
        <f t="shared" si="18"/>
        <v>0</v>
      </c>
    </row>
    <row r="73" spans="1:33" ht="15">
      <c r="A73" s="2" t="s">
        <v>46</v>
      </c>
      <c r="C73" s="9"/>
      <c r="D73" s="9">
        <f aca="true" t="shared" si="19" ref="D73:AG73">IF(D$69&lt;=$K$11,-D$70*$K$10,0)</f>
        <v>0</v>
      </c>
      <c r="E73" s="9">
        <f t="shared" si="19"/>
        <v>0</v>
      </c>
      <c r="F73" s="9">
        <f t="shared" si="19"/>
        <v>0</v>
      </c>
      <c r="G73" s="9">
        <f t="shared" si="19"/>
        <v>0</v>
      </c>
      <c r="H73" s="9">
        <f t="shared" si="19"/>
        <v>0</v>
      </c>
      <c r="I73" s="9">
        <f t="shared" si="19"/>
        <v>0</v>
      </c>
      <c r="J73" s="9">
        <f t="shared" si="19"/>
        <v>0</v>
      </c>
      <c r="K73" s="9">
        <f t="shared" si="19"/>
        <v>0</v>
      </c>
      <c r="L73" s="9">
        <f t="shared" si="19"/>
        <v>0</v>
      </c>
      <c r="M73" s="9">
        <f t="shared" si="19"/>
        <v>0</v>
      </c>
      <c r="N73" s="9">
        <f t="shared" si="19"/>
        <v>0</v>
      </c>
      <c r="O73" s="9">
        <f t="shared" si="19"/>
        <v>0</v>
      </c>
      <c r="P73" s="9">
        <f t="shared" si="19"/>
        <v>0</v>
      </c>
      <c r="Q73" s="9">
        <f t="shared" si="19"/>
        <v>0</v>
      </c>
      <c r="R73" s="9">
        <f t="shared" si="19"/>
        <v>0</v>
      </c>
      <c r="S73" s="9">
        <f t="shared" si="19"/>
        <v>0</v>
      </c>
      <c r="T73" s="9">
        <f t="shared" si="19"/>
        <v>0</v>
      </c>
      <c r="U73" s="9">
        <f t="shared" si="19"/>
        <v>0</v>
      </c>
      <c r="V73" s="9">
        <f t="shared" si="19"/>
        <v>0</v>
      </c>
      <c r="W73" s="9">
        <f t="shared" si="19"/>
        <v>0</v>
      </c>
      <c r="X73" s="9">
        <f t="shared" si="19"/>
        <v>0</v>
      </c>
      <c r="Y73" s="9">
        <f t="shared" si="19"/>
        <v>0</v>
      </c>
      <c r="Z73" s="9">
        <f t="shared" si="19"/>
        <v>0</v>
      </c>
      <c r="AA73" s="9">
        <f t="shared" si="19"/>
        <v>0</v>
      </c>
      <c r="AB73" s="9">
        <f t="shared" si="19"/>
        <v>0</v>
      </c>
      <c r="AC73" s="9">
        <f t="shared" si="19"/>
        <v>0</v>
      </c>
      <c r="AD73" s="9">
        <f t="shared" si="19"/>
        <v>0</v>
      </c>
      <c r="AE73" s="9">
        <f t="shared" si="19"/>
        <v>0</v>
      </c>
      <c r="AF73" s="9">
        <f t="shared" si="19"/>
        <v>0</v>
      </c>
      <c r="AG73" s="9">
        <f t="shared" si="19"/>
        <v>0</v>
      </c>
    </row>
    <row r="74" spans="1:33" s="1" customFormat="1" ht="15.75">
      <c r="A74" s="1" t="s">
        <v>47</v>
      </c>
      <c r="B74" s="89"/>
      <c r="C74" s="89"/>
      <c r="D74" s="89">
        <f>D70+D72</f>
        <v>0</v>
      </c>
      <c r="E74" s="89">
        <f aca="true" t="shared" si="20" ref="E74:AG74">E70+E72</f>
        <v>0</v>
      </c>
      <c r="F74" s="89">
        <f t="shared" si="20"/>
        <v>0</v>
      </c>
      <c r="G74" s="89">
        <f t="shared" si="20"/>
        <v>0</v>
      </c>
      <c r="H74" s="89">
        <f t="shared" si="20"/>
        <v>0</v>
      </c>
      <c r="I74" s="89">
        <f t="shared" si="20"/>
        <v>0</v>
      </c>
      <c r="J74" s="89">
        <f t="shared" si="20"/>
        <v>0</v>
      </c>
      <c r="K74" s="89">
        <f t="shared" si="20"/>
        <v>0</v>
      </c>
      <c r="L74" s="89">
        <f t="shared" si="20"/>
        <v>0</v>
      </c>
      <c r="M74" s="89">
        <f t="shared" si="20"/>
        <v>0</v>
      </c>
      <c r="N74" s="89">
        <f t="shared" si="20"/>
        <v>0</v>
      </c>
      <c r="O74" s="89">
        <f t="shared" si="20"/>
        <v>0</v>
      </c>
      <c r="P74" s="89">
        <f t="shared" si="20"/>
        <v>0</v>
      </c>
      <c r="Q74" s="89">
        <f t="shared" si="20"/>
        <v>0</v>
      </c>
      <c r="R74" s="89">
        <f t="shared" si="20"/>
        <v>0</v>
      </c>
      <c r="S74" s="89">
        <f t="shared" si="20"/>
        <v>0</v>
      </c>
      <c r="T74" s="89">
        <f t="shared" si="20"/>
        <v>0</v>
      </c>
      <c r="U74" s="89">
        <f t="shared" si="20"/>
        <v>0</v>
      </c>
      <c r="V74" s="89">
        <f t="shared" si="20"/>
        <v>0</v>
      </c>
      <c r="W74" s="89">
        <f t="shared" si="20"/>
        <v>0</v>
      </c>
      <c r="X74" s="89">
        <f t="shared" si="20"/>
        <v>0</v>
      </c>
      <c r="Y74" s="89">
        <f t="shared" si="20"/>
        <v>0</v>
      </c>
      <c r="Z74" s="89">
        <f t="shared" si="20"/>
        <v>0</v>
      </c>
      <c r="AA74" s="89">
        <f t="shared" si="20"/>
        <v>0</v>
      </c>
      <c r="AB74" s="89">
        <f t="shared" si="20"/>
        <v>0</v>
      </c>
      <c r="AC74" s="89">
        <f t="shared" si="20"/>
        <v>0</v>
      </c>
      <c r="AD74" s="89">
        <f t="shared" si="20"/>
        <v>0</v>
      </c>
      <c r="AE74" s="89">
        <f t="shared" si="20"/>
        <v>0</v>
      </c>
      <c r="AF74" s="89">
        <f t="shared" si="20"/>
        <v>0</v>
      </c>
      <c r="AG74" s="89">
        <f t="shared" si="20"/>
        <v>0</v>
      </c>
    </row>
    <row r="75" spans="3:33" ht="15">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row>
    <row r="76" spans="1:33" ht="121.5" customHeight="1">
      <c r="A76" s="161" t="s">
        <v>138</v>
      </c>
      <c r="B76" s="162"/>
      <c r="C76" s="162"/>
      <c r="D76" s="162"/>
      <c r="E76" s="162"/>
      <c r="F76" s="162"/>
      <c r="G76" s="162"/>
      <c r="H76" s="162"/>
      <c r="I76" s="162"/>
      <c r="J76" s="162"/>
      <c r="K76" s="162"/>
      <c r="L76" s="162"/>
      <c r="M76" s="162"/>
      <c r="N76" s="162"/>
      <c r="O76" s="162"/>
      <c r="P76" s="162"/>
      <c r="Q76" s="162"/>
      <c r="R76" s="162"/>
      <c r="S76" s="162"/>
      <c r="T76" s="162"/>
      <c r="U76" s="162"/>
      <c r="V76" s="162"/>
      <c r="W76" s="162"/>
      <c r="X76" s="46"/>
      <c r="Y76" s="46"/>
      <c r="Z76" s="46"/>
      <c r="AA76" s="46"/>
      <c r="AB76" s="46"/>
      <c r="AC76" s="46"/>
      <c r="AD76" s="46"/>
      <c r="AE76" s="46"/>
      <c r="AF76" s="46"/>
      <c r="AG76" s="46"/>
    </row>
  </sheetData>
  <mergeCells count="5">
    <mergeCell ref="A76:W76"/>
    <mergeCell ref="A1:W1"/>
    <mergeCell ref="A32:W32"/>
    <mergeCell ref="A67:W67"/>
    <mergeCell ref="A2:W2"/>
  </mergeCells>
  <dataValidations count="1">
    <dataValidation type="list" allowBlank="1" showInputMessage="1" showErrorMessage="1" sqref="K9">
      <formula1>$L$9:$L$10</formula1>
    </dataValidation>
  </dataValidations>
  <printOptions/>
  <pageMargins left="0.5" right="0.5" top="0.5" bottom="0.5" header="0.5" footer="0.28"/>
  <pageSetup fitToHeight="4" horizontalDpi="600" verticalDpi="600" orientation="landscape" scale="33" r:id="rId1"/>
  <headerFooter alignWithMargins="0">
    <oddFooter>&amp;C&amp;F&amp;R&amp;P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55"/>
  <sheetViews>
    <sheetView showGridLines="0" view="pageBreakPreview" zoomScale="85" zoomScaleSheetLayoutView="85" workbookViewId="0" topLeftCell="A40">
      <selection activeCell="I14" sqref="I14"/>
    </sheetView>
  </sheetViews>
  <sheetFormatPr defaultColWidth="9.140625" defaultRowHeight="12.75"/>
  <sheetData>
    <row r="1" spans="1:6" s="143" customFormat="1" ht="15.75">
      <c r="A1" s="142" t="s">
        <v>140</v>
      </c>
      <c r="F1" s="144" t="s">
        <v>118</v>
      </c>
    </row>
    <row r="14" spans="1:6" s="143" customFormat="1" ht="15.75">
      <c r="A14" s="142" t="s">
        <v>127</v>
      </c>
      <c r="F14" s="144" t="s">
        <v>118</v>
      </c>
    </row>
    <row r="32" spans="1:6" s="143" customFormat="1" ht="15.75">
      <c r="A32" s="142" t="s">
        <v>126</v>
      </c>
      <c r="F32" s="144" t="s">
        <v>118</v>
      </c>
    </row>
    <row r="33" ht="18.75" customHeight="1"/>
    <row r="42" ht="181.5" customHeight="1"/>
    <row r="54" s="100" customFormat="1" ht="12.75">
      <c r="A54" s="100" t="s">
        <v>134</v>
      </c>
    </row>
    <row r="55" s="100" customFormat="1" ht="12.75">
      <c r="A55" s="144" t="s">
        <v>135</v>
      </c>
    </row>
  </sheetData>
  <hyperlinks>
    <hyperlink ref="F14" location="'Simple Calculator'!A33" display="Return to Calculator"/>
    <hyperlink ref="F32" location="'Simple Calculator'!A33" display="Return to Calculator"/>
    <hyperlink ref="A55" r:id="rId1" display="http://www.masstech.org/solar"/>
    <hyperlink ref="F1" location="'Simple Calculator'!A33" display="Return to Calculator"/>
  </hyperlinks>
  <printOptions/>
  <pageMargins left="0.75" right="0.75" top="1" bottom="1" header="0.5" footer="0.5"/>
  <pageSetup fitToHeight="1" fitToWidth="1" horizontalDpi="600" verticalDpi="600" orientation="portrait" scale="7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Brasil</dc:creator>
  <cp:keywords/>
  <dc:description/>
  <cp:lastModifiedBy>abe</cp:lastModifiedBy>
  <cp:lastPrinted>2008-01-04T16:26:32Z</cp:lastPrinted>
  <dcterms:created xsi:type="dcterms:W3CDTF">2004-08-20T16:57:20Z</dcterms:created>
  <dcterms:modified xsi:type="dcterms:W3CDTF">2008-02-12T15:26:38Z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