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5175" windowWidth="17250" windowHeight="5220" activeTab="0"/>
  </bookViews>
  <sheets>
    <sheet name="calc09" sheetId="1" r:id="rId1"/>
  </sheets>
  <definedNames>
    <definedName name="\0">'calc09'!#REF!</definedName>
    <definedName name="\A">'calc09'!#REF!</definedName>
    <definedName name="\C">'calc09'!#REF!</definedName>
    <definedName name="\D">'calc09'!#REF!</definedName>
    <definedName name="\I">'calc09'!#REF!</definedName>
    <definedName name="\N">'calc09'!#REF!</definedName>
    <definedName name="\P">'calc09'!#REF!</definedName>
    <definedName name="\Q">'calc09'!#REF!</definedName>
    <definedName name="ADDALLOW">'calc09'!$J$89</definedName>
    <definedName name="CAT">'calc09'!$B$5</definedName>
    <definedName name="DCA1">'calc09'!$B$18</definedName>
    <definedName name="DCA2">'calc09'!$C$18</definedName>
    <definedName name="DCA3">'calc09'!$D$18</definedName>
    <definedName name="DCA4">'calc09'!$E$18</definedName>
    <definedName name="DCA5">'calc09'!$F$18</definedName>
    <definedName name="DCA6">'calc09'!$G$18</definedName>
    <definedName name="DCDCHARGE">'calc09'!#REF!</definedName>
    <definedName name="DED1">'calc09'!$L$7</definedName>
    <definedName name="DED2">'calc09'!$L$8</definedName>
    <definedName name="DED3">'calc09'!$L$9</definedName>
    <definedName name="DED4">'calc09'!$L$10</definedName>
    <definedName name="EMPCR">'calc09'!$L$17:$M$39</definedName>
    <definedName name="EPMC">'calc09'!$J$8</definedName>
    <definedName name="EPMC_">'calc09'!$J$7</definedName>
    <definedName name="EPMC2">'calc09'!$M$14</definedName>
    <definedName name="EPMCD">'calc09'!$J$6</definedName>
    <definedName name="FAN1">'calc09'!$J$24</definedName>
    <definedName name="FBSA1">'calc09'!$J$40</definedName>
    <definedName name="FBST1">'calc09'!$J$56</definedName>
    <definedName name="FEDE">'calc09'!$B$9</definedName>
    <definedName name="FEDERAL">'calc09'!$O$1:$Q$25</definedName>
    <definedName name="FEDEXM">'calc09'!$J$22</definedName>
    <definedName name="FEDEXMPT">'calc09'!$O$2</definedName>
    <definedName name="FEDM">'calc09'!$B$8</definedName>
    <definedName name="Flex_Cash">'calc09'!$B$14</definedName>
    <definedName name="FMTR1">'calc09'!$J$48</definedName>
    <definedName name="FMTR2">'calc09'!$J$49</definedName>
    <definedName name="FMTR3">'calc09'!$J$50</definedName>
    <definedName name="FMTR4">'calc09'!$J$51</definedName>
    <definedName name="FMTR5">'calc09'!$J$52</definedName>
    <definedName name="FMTR6">'calc09'!$J$53</definedName>
    <definedName name="FOVR1">'calc09'!$J$64</definedName>
    <definedName name="FTA1">'calc09'!$J$72</definedName>
    <definedName name="FTAX1">'calc09'!$J$80</definedName>
    <definedName name="FTAX2">'calc09'!$J$81</definedName>
    <definedName name="FTAX3">'calc09'!$J$82</definedName>
    <definedName name="FTAX4">'calc09'!$J$83</definedName>
    <definedName name="FTAX5">'calc09'!$J$84</definedName>
    <definedName name="FTAX6">'calc09'!$J$85</definedName>
    <definedName name="FTG1">'calc09'!$J$32</definedName>
    <definedName name="FTXTBLM">'calc09'!$O$17:$Q$24</definedName>
    <definedName name="FTXTBLSH">'calc09'!$O$6:$Q$13</definedName>
    <definedName name="GROSS">'calc09'!$B$3</definedName>
    <definedName name="INSTRUCTIONS">'calc09'!$A$35:$G$57</definedName>
    <definedName name="IT">'calc09'!$A$1:$G$21</definedName>
    <definedName name="LIE">'calc09'!$J$88</definedName>
    <definedName name="LIEH">'calc09'!$V$8</definedName>
    <definedName name="LIEM1">'calc09'!$T$8</definedName>
    <definedName name="LIEM2">'calc09'!$U$8</definedName>
    <definedName name="LIES">'calc09'!$S$8</definedName>
    <definedName name="MACROS">'calc09'!$AA$40:$AH$102</definedName>
    <definedName name="MD_">'calc09'!$M$2</definedName>
    <definedName name="MED">'calc09'!$J$3</definedName>
    <definedName name="MED_">'calc09'!$J$2</definedName>
    <definedName name="NOMED_">'calc09'!$M$3</definedName>
    <definedName name="NOOA_">'calc09'!$L$3</definedName>
    <definedName name="OA_">'calc09'!$L$2</definedName>
    <definedName name="OAC">'calc09'!$B$7</definedName>
    <definedName name="OASDI">'calc09'!$J$5</definedName>
    <definedName name="OASDI_">'calc09'!$J$4</definedName>
    <definedName name="PAYFACT">'calc09'!$J$21</definedName>
    <definedName name="PER1">'calc09'!$M$7</definedName>
    <definedName name="PER2">'calc09'!$M$8</definedName>
    <definedName name="PER3">'calc09'!$M$9</definedName>
    <definedName name="PER4">'calc09'!$M$10</definedName>
    <definedName name="_xlnm.Print_Area" localSheetId="0">'calc09'!$A$1:$G$29</definedName>
    <definedName name="SADDALL">'calc09'!$S$3</definedName>
    <definedName name="SafetyCheck">'calc09'!$M$15</definedName>
    <definedName name="SBSA1">'calc09'!$J$105</definedName>
    <definedName name="SBST1">'calc09'!$J$121</definedName>
    <definedName name="SDED">'calc09'!$J$90</definedName>
    <definedName name="SDH">'calc09'!$V$13</definedName>
    <definedName name="SDI">'calc09'!$B$13</definedName>
    <definedName name="SDI1">'calc09'!$J$11</definedName>
    <definedName name="SDIGRS">'calc09'!$J$12</definedName>
    <definedName name="SDM1">'calc09'!$T$13</definedName>
    <definedName name="SDM2">'calc09'!$U$13</definedName>
    <definedName name="SDS">'calc09'!$S$13</definedName>
    <definedName name="SMTR1">'calc09'!$J$113</definedName>
    <definedName name="SMTR2">'calc09'!$J$114</definedName>
    <definedName name="SMTR3">'calc09'!$J$115</definedName>
    <definedName name="SMTR4">'calc09'!$J$116</definedName>
    <definedName name="SMTR5">'calc09'!$J$117</definedName>
    <definedName name="SMTR6">'calc09'!$J$118</definedName>
    <definedName name="SOVR1">'calc09'!$J$129</definedName>
    <definedName name="STA">'calc09'!$B$12</definedName>
    <definedName name="STA1">'calc09'!$J$137</definedName>
    <definedName name="STATE">'calc09'!$S$1:$Z$98</definedName>
    <definedName name="STAX1">'calc09'!$J$145</definedName>
    <definedName name="STAX2">'calc09'!$J$146</definedName>
    <definedName name="STAX3">'calc09'!$J$147</definedName>
    <definedName name="STAX4">'calc09'!$J$148</definedName>
    <definedName name="STAX5">'calc09'!$J$149</definedName>
    <definedName name="STAX6">'calc09'!$J$150</definedName>
    <definedName name="STE">'calc09'!$B$11</definedName>
    <definedName name="STG1">'calc09'!$J$97</definedName>
    <definedName name="STM">'calc09'!$B$10</definedName>
    <definedName name="STXTBLM">'calc09'!$S$31:$U$41</definedName>
    <definedName name="STXTBLS">'calc09'!$S$17:$U$27</definedName>
    <definedName name="STXTBLUH">'calc09'!$S$45:$U$55</definedName>
    <definedName name="TCRM0">'calc09'!$T$61</definedName>
    <definedName name="TCRM1">'calc09'!$U$61</definedName>
    <definedName name="TCRM2">'calc09'!$V$61</definedName>
    <definedName name="TCRMR">'calc09'!$W$61</definedName>
    <definedName name="TCRS0">'calc09'!$T$60</definedName>
    <definedName name="TCRS1">'calc09'!$U$60</definedName>
    <definedName name="TCRS2">'calc09'!$V$60</definedName>
    <definedName name="TCRSR">'calc09'!$W$60</definedName>
    <definedName name="TG1">'calc09'!$J$13</definedName>
    <definedName name="TG2">'calc09'!$J$14</definedName>
    <definedName name="TG3">'calc09'!$J$15</definedName>
    <definedName name="TG4">'calc09'!$J$16</definedName>
    <definedName name="TG5">'calc09'!$J$17</definedName>
    <definedName name="TG6">'calc09'!$J$18</definedName>
    <definedName name="TIER">'calc09'!$B$6</definedName>
    <definedName name="Total_A_R_Deductions">'calc09'!$B$16</definedName>
    <definedName name="Total_Flex">'calc09'!$B$15</definedName>
    <definedName name="TXCRB">'calc09'!$J$91</definedName>
    <definedName name="TXCREDIT">'calc09'!$J$94</definedName>
    <definedName name="TXCROV2">'calc09'!$J$92</definedName>
    <definedName name="TXCRR">'calc09'!$J$93</definedName>
    <definedName name="VOLDEDS">'calc09'!$B$17</definedName>
    <definedName name="WORK">'calc09'!$I$1:$M$162</definedName>
  </definedNames>
  <calcPr fullCalcOnLoad="1"/>
</workbook>
</file>

<file path=xl/sharedStrings.xml><?xml version="1.0" encoding="utf-8"?>
<sst xmlns="http://schemas.openxmlformats.org/spreadsheetml/2006/main" count="302" uniqueCount="258">
  <si>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</si>
  <si>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</si>
  <si>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</si>
  <si>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</si>
  <si>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</si>
  <si>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</si>
  <si>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</si>
  <si>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</si>
  <si>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</si>
  <si>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</si>
  <si>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</si>
  <si>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MED</t>
  </si>
  <si>
    <t>Retirement Tier</t>
  </si>
  <si>
    <t xml:space="preserve">(1 or 2)                                                          </t>
  </si>
  <si>
    <t>SS%</t>
  </si>
  <si>
    <t>SINGLE/HEAD OF HOUSEHOLD</t>
  </si>
  <si>
    <t>Social Security /Medicare</t>
  </si>
  <si>
    <t>(YES, NO, MED)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</si>
  <si>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</si>
  <si>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</si>
  <si>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</si>
  <si>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</si>
  <si>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</si>
  <si>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</si>
  <si>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</si>
  <si>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</si>
  <si>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</si>
  <si>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>EXC AMT</t>
  </si>
  <si>
    <t>%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</si>
  <si>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</si>
  <si>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</si>
  <si>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</si>
  <si>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</si>
  <si>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</si>
  <si>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</si>
  <si>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</si>
  <si>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</si>
  <si>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</si>
  <si>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</si>
  <si>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</si>
  <si>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</si>
  <si>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</si>
  <si>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</si>
  <si>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</si>
  <si>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</si>
  <si>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</si>
  <si>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</si>
  <si>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</si>
  <si>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</si>
  <si>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</si>
  <si>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</si>
  <si>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RETIREMENT %-L/T/J</t>
  </si>
  <si>
    <t>Total-Voluntary Deductions</t>
  </si>
  <si>
    <t>TXGRS4</t>
  </si>
  <si>
    <t>EPMC%2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</si>
  <si>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</si>
  <si>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</si>
  <si>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</si>
  <si>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</si>
  <si>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</si>
  <si>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</si>
  <si>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</si>
  <si>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</si>
  <si>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</si>
  <si>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</si>
  <si>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</si>
  <si>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</si>
  <si>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</si>
  <si>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</si>
  <si>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</si>
  <si>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</si>
  <si>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</si>
  <si>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</si>
  <si>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</si>
  <si>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</si>
  <si>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</si>
  <si>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</si>
  <si>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</si>
  <si>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</si>
  <si>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</si>
  <si>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</si>
  <si>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</si>
  <si>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</si>
  <si>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</si>
  <si>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</si>
  <si>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</si>
  <si>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</si>
  <si>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</si>
  <si>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</si>
  <si>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</si>
  <si>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</si>
  <si>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</si>
  <si>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</si>
  <si>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</si>
  <si>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</si>
  <si>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</si>
  <si>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</si>
  <si>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</si>
  <si>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</si>
  <si>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</si>
  <si>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</si>
  <si>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</si>
  <si>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</si>
  <si>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</si>
  <si>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</si>
  <si>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</si>
  <si>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</si>
  <si>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</si>
  <si>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</si>
  <si>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</si>
  <si>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</si>
  <si>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</si>
  <si>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deductions enter YES,  if it shows MEDICARE only enter MED or if it shows neither enter NO.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</si>
  <si>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</si>
  <si>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</si>
  <si>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</si>
  <si>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</si>
  <si>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</si>
  <si>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</si>
  <si>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</si>
  <si>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</si>
  <si>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</si>
  <si>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</si>
  <si>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</si>
  <si>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</si>
  <si>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</si>
  <si>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</si>
  <si>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</si>
  <si>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</si>
  <si>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</si>
  <si>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</si>
  <si>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</si>
  <si>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</si>
  <si>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</si>
  <si>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</si>
  <si>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</si>
  <si>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</si>
  <si>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</si>
  <si>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(NOTE:Many account receivable deductions are one time and not ongoing.  In this case you may wish to exclude these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</si>
  <si>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</si>
  <si>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</si>
  <si>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</si>
  <si>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</si>
  <si>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</si>
  <si>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</si>
  <si>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</si>
  <si>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</si>
  <si>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</si>
  <si>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</si>
  <si>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</si>
  <si>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</si>
  <si>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</si>
  <si>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</si>
  <si>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</si>
  <si>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</si>
  <si>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</si>
  <si>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</si>
  <si>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</si>
  <si>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</si>
  <si>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</si>
  <si>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</si>
  <si>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</si>
  <si>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</si>
  <si>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</si>
  <si>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</si>
  <si>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</si>
  <si>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</si>
  <si>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</si>
  <si>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</si>
  <si>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</si>
  <si>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</si>
  <si>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</si>
  <si>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</si>
  <si>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</si>
  <si>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</si>
  <si>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</si>
  <si>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</si>
  <si>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</si>
  <si>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</si>
  <si>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</si>
  <si>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</si>
  <si>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</si>
  <si>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</si>
  <si>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</si>
  <si>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</si>
  <si>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</si>
  <si>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</si>
  <si>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</si>
  <si>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</si>
  <si>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</si>
  <si>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</si>
  <si>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</si>
  <si>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</si>
  <si>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</si>
  <si>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</si>
  <si>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</si>
  <si>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</si>
  <si>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</si>
  <si>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</si>
  <si>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</si>
  <si>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</si>
  <si>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</si>
  <si>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</si>
  <si>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</si>
  <si>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</si>
  <si>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</si>
  <si>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</si>
  <si>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</si>
  <si>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</si>
  <si>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</si>
  <si>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</si>
  <si>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</si>
  <si>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</si>
  <si>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</si>
  <si>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</si>
  <si>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</si>
  <si>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</si>
  <si>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</si>
  <si>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Retirement Category</t>
    </r>
    <r>
      <rPr>
        <sz val="12"/>
        <rFont val="Tms Rmn"/>
        <family val="0"/>
      </rPr>
      <t>-Enter the appropriate code as determined by checking your PERS/STRS annual statement.</t>
    </r>
  </si>
  <si>
    <r>
      <t>Retirement Tier</t>
    </r>
    <r>
      <rPr>
        <sz val="12"/>
        <rFont val="Tms Rmn"/>
        <family val="0"/>
      </rPr>
      <t>-Enter the appropriate tier as determined by checking your PERS/STRS annual statement.</t>
    </r>
  </si>
  <si>
    <r>
      <t>Social Security/Medicare</t>
    </r>
    <r>
      <rPr>
        <sz val="12"/>
        <rFont val="Tms Rmn"/>
        <family val="0"/>
      </rPr>
      <t xml:space="preserve">-If your earnings statement/direct deposit advice shows both SOC SEC and MEDICARE 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</si>
  <si>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</si>
  <si>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</si>
  <si>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</si>
  <si>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Number of Exemptions State</t>
    </r>
    <r>
      <rPr>
        <sz val="12"/>
        <rFont val="Tms Rmn"/>
        <family val="0"/>
      </rPr>
      <t xml:space="preserve">-Enter the number of exeptions you want to compute state tax with. (California only) 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</si>
  <si>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</si>
  <si>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</si>
  <si>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</si>
  <si>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</si>
  <si>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</si>
  <si>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</si>
  <si>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t>See instructions below</t>
  </si>
  <si>
    <t>These are all * deductions except *TSA, *DC-457, *457, *401K, *403B, *PERSREDPST or *STRS REDST.</t>
  </si>
  <si>
    <t xml:space="preserve">amount at the head of the column.  (NOTE:Also use this field to enter PERS/STRS Retirement buy back shown as  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</si>
  <si>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</si>
  <si>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</si>
  <si>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</si>
  <si>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</si>
  <si>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</si>
  <si>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</si>
  <si>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MIS</t>
  </si>
  <si>
    <t>YES</t>
  </si>
  <si>
    <t>Supervisors, Excluded &amp; Confidential employees, enter "U."  CSU employees and Judges, enter "C."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</si>
  <si>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</si>
  <si>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</si>
  <si>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</si>
  <si>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</si>
  <si>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</si>
  <si>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</si>
  <si>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</si>
  <si>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</si>
  <si>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 xml:space="preserve">amount and a rate of 8% should enter the code POX, POF members with a $513 monthly exclusion enter the code POY, </t>
  </si>
  <si>
    <t>See instruction below</t>
  </si>
  <si>
    <t xml:space="preserve">(MIS, IND, SAF, PAT, POF, NONE, L , T, J, TD, TM, TX, TY)  </t>
  </si>
  <si>
    <t>POF members with a rate of 6% should enter the code POZ)</t>
  </si>
  <si>
    <t>(NOTE: POF and PAT members with a rate of 0% should enter the code NONE, POF members with a $863 monthly exclusion</t>
  </si>
  <si>
    <t>(1-21, U, or C)</t>
  </si>
  <si>
    <r>
      <t xml:space="preserve">CALIFORNIA STATE CONTROLLER'S OFFICE PAYCHECK CALCULATOR-2009 TAX RATES </t>
    </r>
    <r>
      <rPr>
        <b/>
        <sz val="8"/>
        <rFont val="Palatino"/>
        <family val="1"/>
      </rPr>
      <t>(EFF. 5/4/09)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</si>
</sst>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</numFmts>
  <fonts count="3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7" fontId="9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24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25" borderId="0" xfId="0" applyFill="1" applyAlignment="1">
      <alignment horizontal="left"/>
    </xf>
    <xf numFmtId="167" fontId="0" fillId="25" borderId="0" xfId="0" applyNumberFormat="1" applyFill="1" applyAlignment="1">
      <alignment/>
    </xf>
    <xf numFmtId="167" fontId="0" fillId="25" borderId="0" xfId="0" applyNumberFormat="1" applyFill="1" applyAlignment="1">
      <alignment horizontal="right"/>
    </xf>
    <xf numFmtId="164" fontId="0" fillId="25" borderId="19" xfId="0" applyNumberFormat="1" applyFill="1" applyBorder="1" applyAlignment="1">
      <alignment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39" fontId="0" fillId="0" borderId="0" xfId="0" applyNumberFormat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 horizontal="left"/>
    </xf>
    <xf numFmtId="167" fontId="0" fillId="26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7" fontId="0" fillId="27" borderId="0" xfId="0" applyNumberFormat="1" applyFill="1" applyAlignment="1">
      <alignment/>
    </xf>
    <xf numFmtId="7" fontId="0" fillId="28" borderId="0" xfId="0" applyNumberFormat="1" applyFill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74" fontId="0" fillId="0" borderId="0" xfId="0" applyNumberForma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7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6.5" style="0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257</v>
      </c>
      <c r="C1" s="8"/>
      <c r="D1" s="8"/>
      <c r="E1" s="11"/>
      <c r="F1" s="11"/>
      <c r="G1" s="11"/>
      <c r="I1" s="2" t="s">
        <v>0</v>
      </c>
      <c r="L1" s="2" t="s">
        <v>1</v>
      </c>
      <c r="M1" s="2" t="s">
        <v>2</v>
      </c>
      <c r="N1" s="2" t="s">
        <v>248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IF(OAC="MED",MD_,IF(OAC="YES",MD_,0))</f>
        <v>0.0145</v>
      </c>
      <c r="K2" s="2"/>
      <c r="L2">
        <v>0.062</v>
      </c>
      <c r="M2">
        <v>0.0145</v>
      </c>
      <c r="N2">
        <v>0.011</v>
      </c>
      <c r="O2" s="3">
        <v>3650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7" t="s">
        <v>7</v>
      </c>
      <c r="I3" s="2" t="s">
        <v>11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211</v>
      </c>
      <c r="B4" s="40">
        <v>1</v>
      </c>
      <c r="C4" s="15" t="s">
        <v>256</v>
      </c>
      <c r="D4" s="34"/>
      <c r="E4" s="34"/>
      <c r="F4" s="34"/>
      <c r="G4" s="25"/>
      <c r="I4" s="2" t="s">
        <v>14</v>
      </c>
      <c r="J4" s="5">
        <f>IF(OR(OR(OR(OAC="NO",CAT="SAF"),CAT="PAT"),CAT="POF"),0,IF(OAC="YES",OA_,IF(OAC="MED",NOOA_,0)))</f>
        <v>0.062</v>
      </c>
      <c r="L4" t="s">
        <v>7</v>
      </c>
      <c r="M4" t="s">
        <v>7</v>
      </c>
      <c r="O4" s="2" t="s">
        <v>15</v>
      </c>
    </row>
    <row r="5" spans="1:19" ht="16.5" thickBot="1">
      <c r="A5" s="10" t="s">
        <v>10</v>
      </c>
      <c r="B5" s="19" t="s">
        <v>240</v>
      </c>
      <c r="C5" s="15" t="s">
        <v>253</v>
      </c>
      <c r="D5" s="8"/>
      <c r="E5" s="8"/>
      <c r="F5" s="8"/>
      <c r="G5" s="35"/>
      <c r="I5" s="2" t="s">
        <v>18</v>
      </c>
      <c r="J5" s="3">
        <f>ROUND((GROSS+Flex_Cash-Total_Flex)*OASDI_,2)</f>
        <v>248</v>
      </c>
      <c r="L5" s="7" t="s">
        <v>19</v>
      </c>
      <c r="M5" s="2"/>
      <c r="O5" s="2" t="s">
        <v>20</v>
      </c>
      <c r="P5" s="2" t="s">
        <v>21</v>
      </c>
      <c r="Q5" s="2" t="s">
        <v>22</v>
      </c>
      <c r="S5" s="2" t="s">
        <v>23</v>
      </c>
    </row>
    <row r="6" spans="1:22" ht="17.25" thickBot="1" thickTop="1">
      <c r="A6" s="10" t="s">
        <v>12</v>
      </c>
      <c r="B6" s="19">
        <v>1</v>
      </c>
      <c r="C6" s="15" t="s">
        <v>13</v>
      </c>
      <c r="D6" s="8"/>
      <c r="E6" s="52" t="s">
        <v>252</v>
      </c>
      <c r="F6" s="51"/>
      <c r="G6" s="25"/>
      <c r="I6" s="2" t="s">
        <v>26</v>
      </c>
      <c r="J6" s="3">
        <f>IF(OR(B5="NONE",B5="TD",B5="TX",B5="TM",B5="TY",B6=2),L7,IF(AND(OR(B5="MIS",B5="IND"),B7="YES"),L8,IF(B5="POY",L8,IF(AND(OR(B5="MIS",B5="IND"),B7&lt;&gt;"YES"),L9,IF(B5="SAF",L9,IF(OR(B5="POF",B5="POZ"),L10,IF(B5="POX",L11,IF(B5="PAT",L11,0))))))))</f>
        <v>513</v>
      </c>
      <c r="L6" s="2" t="s">
        <v>27</v>
      </c>
      <c r="M6" s="2" t="s">
        <v>28</v>
      </c>
      <c r="O6" s="3">
        <v>-999999</v>
      </c>
      <c r="P6" s="3">
        <v>0</v>
      </c>
      <c r="Q6" s="3">
        <v>0</v>
      </c>
      <c r="T6" s="2" t="s">
        <v>29</v>
      </c>
      <c r="V6" s="2" t="s">
        <v>30</v>
      </c>
    </row>
    <row r="7" spans="1:22" ht="16.5" thickTop="1">
      <c r="A7" s="10" t="s">
        <v>16</v>
      </c>
      <c r="B7" s="19" t="s">
        <v>241</v>
      </c>
      <c r="C7" s="15" t="s">
        <v>17</v>
      </c>
      <c r="D7" s="8"/>
      <c r="E7" s="8"/>
      <c r="F7" s="8"/>
      <c r="G7" s="25"/>
      <c r="I7" s="2" t="s">
        <v>33</v>
      </c>
      <c r="J7" s="6">
        <f>IF(OR(B5="NONE",B6=2,),M7,IF(OR(B5="TD",B5="TX",B5="TM",B5="TY"),M11,IF(AND(OR(B5="MIS",B5="IND"),B7="YES"),M8,IF(AND(OR(B5="MIS",B5="IND"),B7&lt;&gt;"YES"),M9,IF(OR(B5="SAF",B5="POZ"),M9,IF(OR(B5="POF",B5="POX",B5="POY"),M10,IF(B5="PAT",0.04,0)))))))</f>
        <v>0.05</v>
      </c>
      <c r="L7">
        <v>0</v>
      </c>
      <c r="M7">
        <v>0</v>
      </c>
      <c r="O7" s="3">
        <v>7180</v>
      </c>
      <c r="P7" s="3">
        <v>0.1</v>
      </c>
      <c r="Q7" s="3">
        <v>0</v>
      </c>
      <c r="S7" s="7" t="s">
        <v>34</v>
      </c>
      <c r="T7" s="7" t="s">
        <v>35</v>
      </c>
      <c r="U7" s="2" t="s">
        <v>36</v>
      </c>
      <c r="V7" s="2" t="s">
        <v>37</v>
      </c>
    </row>
    <row r="8" spans="1:22" ht="15.75">
      <c r="A8" s="10" t="s">
        <v>24</v>
      </c>
      <c r="B8" s="19" t="s">
        <v>235</v>
      </c>
      <c r="C8" s="15" t="s">
        <v>25</v>
      </c>
      <c r="D8" s="8"/>
      <c r="E8" s="8"/>
      <c r="F8" s="8"/>
      <c r="G8" s="25"/>
      <c r="I8" s="2" t="s">
        <v>19</v>
      </c>
      <c r="J8" s="39">
        <f>IF(B6=2,0,IF((GROSS-EPMCD)*(EPMC_+M16+SafetyCheck+EPMC2)&lt;0,0,ROUND((GROSS-EPMCD)*(EPMC_+M16+SafetyCheck+EPMC2),2)))</f>
        <v>174.35</v>
      </c>
      <c r="L8">
        <v>513</v>
      </c>
      <c r="M8">
        <v>0.05</v>
      </c>
      <c r="O8" s="3">
        <v>10400</v>
      </c>
      <c r="P8" s="3">
        <v>0.15</v>
      </c>
      <c r="Q8" s="3">
        <v>322</v>
      </c>
      <c r="S8" s="4">
        <v>11278</v>
      </c>
      <c r="T8" s="4">
        <v>11278</v>
      </c>
      <c r="U8" s="4">
        <v>22556</v>
      </c>
      <c r="V8" s="4">
        <v>22556</v>
      </c>
    </row>
    <row r="9" spans="1:17" ht="15.75">
      <c r="A9" s="10" t="s">
        <v>31</v>
      </c>
      <c r="B9" s="19">
        <v>0</v>
      </c>
      <c r="C9" s="15" t="s">
        <v>32</v>
      </c>
      <c r="D9" s="8"/>
      <c r="E9" s="8"/>
      <c r="F9" s="8"/>
      <c r="G9" s="25"/>
      <c r="I9" s="2" t="s">
        <v>40</v>
      </c>
      <c r="J9" s="23">
        <f>GROSS+Flex_Cash-Total_Flex</f>
        <v>4000</v>
      </c>
      <c r="K9" s="5"/>
      <c r="L9">
        <v>317</v>
      </c>
      <c r="M9">
        <v>0.06</v>
      </c>
      <c r="O9" s="3">
        <v>36200</v>
      </c>
      <c r="P9" s="3">
        <v>0.25</v>
      </c>
      <c r="Q9" s="3">
        <v>4192</v>
      </c>
    </row>
    <row r="10" spans="1:19" ht="15.75">
      <c r="A10" s="10" t="s">
        <v>38</v>
      </c>
      <c r="B10" s="19" t="s">
        <v>235</v>
      </c>
      <c r="C10" s="15" t="s">
        <v>25</v>
      </c>
      <c r="D10" s="8"/>
      <c r="E10" s="12" t="s">
        <v>7</v>
      </c>
      <c r="F10" s="10" t="s">
        <v>7</v>
      </c>
      <c r="G10" s="26" t="s">
        <v>7</v>
      </c>
      <c r="I10" s="2" t="s">
        <v>42</v>
      </c>
      <c r="J10" s="23">
        <f>GROSS+Flex_Cash-Total_Flex</f>
        <v>4000</v>
      </c>
      <c r="K10" s="3"/>
      <c r="L10">
        <v>238</v>
      </c>
      <c r="M10">
        <v>0.08</v>
      </c>
      <c r="O10" s="3">
        <v>66530</v>
      </c>
      <c r="P10" s="3">
        <v>0.28</v>
      </c>
      <c r="Q10" s="3">
        <v>11774.5</v>
      </c>
      <c r="S10" s="2" t="s">
        <v>43</v>
      </c>
    </row>
    <row r="11" spans="1:22" ht="15.75">
      <c r="A11" s="10" t="s">
        <v>39</v>
      </c>
      <c r="B11" s="19">
        <v>0</v>
      </c>
      <c r="C11" s="15" t="s">
        <v>32</v>
      </c>
      <c r="D11" s="8"/>
      <c r="E11" s="12" t="s">
        <v>7</v>
      </c>
      <c r="F11" s="10" t="s">
        <v>7</v>
      </c>
      <c r="G11" s="26" t="s">
        <v>7</v>
      </c>
      <c r="I11" s="2" t="s">
        <v>245</v>
      </c>
      <c r="J11" s="49">
        <f>IF(SDI="Yes",SDIGRS*N2,0)</f>
        <v>0</v>
      </c>
      <c r="K11" s="5"/>
      <c r="L11">
        <v>863</v>
      </c>
      <c r="M11">
        <v>0.075</v>
      </c>
      <c r="O11" s="3">
        <v>173600</v>
      </c>
      <c r="P11" s="41">
        <v>0.33</v>
      </c>
      <c r="Q11" s="3">
        <v>41754.1</v>
      </c>
      <c r="T11" s="2" t="s">
        <v>29</v>
      </c>
      <c r="V11" s="2" t="s">
        <v>30</v>
      </c>
    </row>
    <row r="12" spans="1:22" ht="15.75">
      <c r="A12" s="10" t="s">
        <v>41</v>
      </c>
      <c r="B12" s="19">
        <v>0</v>
      </c>
      <c r="C12" s="15" t="s">
        <v>32</v>
      </c>
      <c r="D12" s="8"/>
      <c r="E12" s="12" t="s">
        <v>7</v>
      </c>
      <c r="F12" s="10" t="s">
        <v>7</v>
      </c>
      <c r="G12" s="26" t="s">
        <v>7</v>
      </c>
      <c r="I12" s="2" t="s">
        <v>246</v>
      </c>
      <c r="J12" s="50">
        <f>GROSS+Flex_Cash</f>
        <v>4000</v>
      </c>
      <c r="K12" s="5"/>
      <c r="O12" s="3">
        <v>375000</v>
      </c>
      <c r="P12" s="41">
        <v>0.35</v>
      </c>
      <c r="Q12" s="3">
        <v>108216.1</v>
      </c>
      <c r="S12" s="7" t="s">
        <v>34</v>
      </c>
      <c r="T12" s="7" t="s">
        <v>35</v>
      </c>
      <c r="U12" s="2" t="s">
        <v>36</v>
      </c>
      <c r="V12" s="2" t="s">
        <v>37</v>
      </c>
    </row>
    <row r="13" spans="1:22" ht="15.75">
      <c r="A13" s="10" t="s">
        <v>244</v>
      </c>
      <c r="B13" s="19" t="s">
        <v>250</v>
      </c>
      <c r="C13" s="15" t="s">
        <v>243</v>
      </c>
      <c r="D13" s="8"/>
      <c r="E13" s="12"/>
      <c r="F13" s="10"/>
      <c r="G13" s="26"/>
      <c r="I13" s="2" t="s">
        <v>45</v>
      </c>
      <c r="J13" s="3">
        <f>(GROSS-Total_A_R_Deductions-EPMC+Flex_Cash-Total_Flex-DCA1)</f>
        <v>3825.65</v>
      </c>
      <c r="K13" s="5"/>
      <c r="L13" t="s">
        <v>51</v>
      </c>
      <c r="O13" s="3">
        <v>999999.99</v>
      </c>
      <c r="P13" s="3">
        <v>0.31</v>
      </c>
      <c r="Q13" s="3">
        <v>99999.99</v>
      </c>
      <c r="S13" s="4">
        <v>3692</v>
      </c>
      <c r="T13" s="4">
        <v>3692</v>
      </c>
      <c r="U13" s="4">
        <v>7384</v>
      </c>
      <c r="V13" s="4">
        <v>7384</v>
      </c>
    </row>
    <row r="14" spans="1:13" ht="15.75">
      <c r="A14" s="10" t="s">
        <v>44</v>
      </c>
      <c r="B14" s="20">
        <v>0</v>
      </c>
      <c r="C14" s="15" t="s">
        <v>237</v>
      </c>
      <c r="D14" s="8"/>
      <c r="E14" s="8"/>
      <c r="F14" s="8"/>
      <c r="G14" s="25"/>
      <c r="I14" s="2" t="s">
        <v>47</v>
      </c>
      <c r="J14" s="3">
        <f>(GROSS-Total_A_R_Deductions-EPMC+Flex_Cash-Total_Flex-DCA2)</f>
        <v>3725.65</v>
      </c>
      <c r="K14" s="5"/>
      <c r="L14" t="s">
        <v>54</v>
      </c>
      <c r="M14">
        <f>IF(OR(B5="L",B5="T",B5="J"),M10,0)</f>
        <v>0</v>
      </c>
    </row>
    <row r="15" spans="1:19" ht="15.75">
      <c r="A15" s="10" t="s">
        <v>46</v>
      </c>
      <c r="B15" s="20">
        <v>0</v>
      </c>
      <c r="C15" s="15" t="s">
        <v>231</v>
      </c>
      <c r="D15" s="8"/>
      <c r="E15" s="8"/>
      <c r="F15" s="8"/>
      <c r="G15" s="25"/>
      <c r="I15" s="2" t="s">
        <v>50</v>
      </c>
      <c r="J15" s="3">
        <f>(GROSS-Total_A_R_Deductions-EPMC+Flex_Cash-Total_Flex-DCA3)</f>
        <v>3625.65</v>
      </c>
      <c r="K15" s="5"/>
      <c r="L15" s="43" t="s">
        <v>216</v>
      </c>
      <c r="M15" s="44">
        <f>IF(AND(OR(B4=1,B4=2,B4=3,B4=4,B4=11,B4=15),B5="SAF"),0,0)</f>
        <v>0</v>
      </c>
      <c r="O15" s="2" t="s">
        <v>7</v>
      </c>
      <c r="P15" s="2" t="s">
        <v>57</v>
      </c>
      <c r="S15" s="2" t="s">
        <v>58</v>
      </c>
    </row>
    <row r="16" spans="1:21" ht="15.75">
      <c r="A16" s="10" t="s">
        <v>48</v>
      </c>
      <c r="B16" s="20">
        <v>0</v>
      </c>
      <c r="C16" s="15" t="s">
        <v>49</v>
      </c>
      <c r="D16" s="8"/>
      <c r="E16" s="8"/>
      <c r="F16" s="8"/>
      <c r="G16" s="25"/>
      <c r="I16" s="2" t="s">
        <v>53</v>
      </c>
      <c r="J16" s="3">
        <f>(GROSS-Total_A_R_Deductions-EPMC+Flex_Cash-Total_Flex-DCA4)</f>
        <v>3525.65</v>
      </c>
      <c r="K16" s="5"/>
      <c r="L16" s="36" t="s">
        <v>212</v>
      </c>
      <c r="M16" s="37">
        <f>VLOOKUP(B4,L17:M40,2)</f>
        <v>0</v>
      </c>
      <c r="O16" s="2" t="s">
        <v>20</v>
      </c>
      <c r="P16" s="2" t="s">
        <v>21</v>
      </c>
      <c r="Q16" s="2" t="s">
        <v>22</v>
      </c>
      <c r="S16" s="2" t="s">
        <v>20</v>
      </c>
      <c r="T16" s="2" t="s">
        <v>21</v>
      </c>
      <c r="U16" s="2" t="s">
        <v>22</v>
      </c>
    </row>
    <row r="17" spans="1:21" ht="16.5" thickBot="1">
      <c r="A17" s="10" t="s">
        <v>52</v>
      </c>
      <c r="B17" s="20">
        <v>0</v>
      </c>
      <c r="C17" s="15" t="s">
        <v>231</v>
      </c>
      <c r="D17" s="8"/>
      <c r="E17" s="8"/>
      <c r="F17" s="8"/>
      <c r="G17" s="25"/>
      <c r="I17" s="2" t="s">
        <v>56</v>
      </c>
      <c r="J17" s="3">
        <f>(GROSS-Total_A_R_Deductions-EPMC+Flex_Cash-Total_Flex-DCA5)</f>
        <v>3425.65</v>
      </c>
      <c r="K17" s="5"/>
      <c r="L17" s="36">
        <v>1</v>
      </c>
      <c r="M17" s="38">
        <v>0</v>
      </c>
      <c r="O17" s="3">
        <v>-999999</v>
      </c>
      <c r="P17" s="3">
        <v>0</v>
      </c>
      <c r="Q17" s="3">
        <v>0</v>
      </c>
      <c r="S17" s="4">
        <v>0</v>
      </c>
      <c r="T17" s="53">
        <v>0.0125</v>
      </c>
      <c r="U17" s="3">
        <v>0</v>
      </c>
    </row>
    <row r="18" spans="1:21" ht="16.5" thickBot="1">
      <c r="A18" s="14" t="s">
        <v>55</v>
      </c>
      <c r="B18" s="24">
        <v>0</v>
      </c>
      <c r="C18" s="33">
        <v>100</v>
      </c>
      <c r="D18" s="33">
        <v>200</v>
      </c>
      <c r="E18" s="33">
        <v>300</v>
      </c>
      <c r="F18" s="33">
        <v>400</v>
      </c>
      <c r="G18" s="33">
        <v>625</v>
      </c>
      <c r="I18" s="2" t="s">
        <v>60</v>
      </c>
      <c r="J18" s="3">
        <f>(GROSS-Total_A_R_Deductions-EPMC+Flex_Cash-Total_Flex-DCA6)</f>
        <v>3200.65</v>
      </c>
      <c r="K18" s="5"/>
      <c r="L18" s="36">
        <v>2</v>
      </c>
      <c r="M18" s="38">
        <v>0.01</v>
      </c>
      <c r="O18" s="3">
        <v>15750</v>
      </c>
      <c r="P18" s="3">
        <v>0.1</v>
      </c>
      <c r="Q18" s="3">
        <v>0</v>
      </c>
      <c r="S18" s="4">
        <v>7168</v>
      </c>
      <c r="T18" s="53">
        <v>0.0225</v>
      </c>
      <c r="U18" s="3">
        <v>89.6</v>
      </c>
    </row>
    <row r="19" spans="1:21" ht="15.75">
      <c r="A19" s="13" t="s">
        <v>59</v>
      </c>
      <c r="B19" s="28">
        <f>(GROSS-EPMC-OASDI-MED+Flex_Cash-Total_Flex-VOLDEDS-DCA1-FTAX1-STAX1-B16-SDI1)</f>
        <v>3098.01</v>
      </c>
      <c r="C19" s="29">
        <f>IF(DCA2&gt;0,(GROSS-EPMC-OASDI-MED+Flex_Cash-Total_Flex-VOLDEDS-DCA2-FTAX2-STAX2-B16-SDI1),"")</f>
        <v>3017.26</v>
      </c>
      <c r="D19" s="29">
        <f>IF(DCA3&gt;0,(GROSS-EPMC-OASDI-MED+Flex_Cash-Total_Flex-VOLDEDS-DCA3-FTAX3-STAX3-B16-SDI1),"")</f>
        <v>2936.51</v>
      </c>
      <c r="E19" s="29">
        <f>IF(DCA4&gt;0,(GROSS-EPMC-OASDI-MED+Flex_Cash-Total_Flex-VOLDEDS-DCA4-FTAX4-STAX4-B16-SDI1),"")</f>
        <v>2855.76</v>
      </c>
      <c r="F19" s="29">
        <f>IF(DCA5&gt;0,(GROSS-EPMC-OASDI-MED+Flex_Cash-Total_Flex-VOLDEDS-DCA5-FTAX5-STAX5-B16-SDI1),"")</f>
        <v>2775.01</v>
      </c>
      <c r="G19" s="29">
        <f>IF(DCA6&gt;0,(GROSS-EPMC-OASDI-MED+Flex_Cash-Total_Flex-VOLDEDS-DCA6-FTAX6-STAX6-B16-SDI1),"")</f>
        <v>2593.32</v>
      </c>
      <c r="K19" s="5"/>
      <c r="L19" s="36">
        <v>3</v>
      </c>
      <c r="M19" s="38">
        <v>0</v>
      </c>
      <c r="O19" s="3">
        <v>24450</v>
      </c>
      <c r="P19" s="3">
        <v>0.15</v>
      </c>
      <c r="Q19" s="3">
        <v>870</v>
      </c>
      <c r="S19" s="4">
        <v>16994</v>
      </c>
      <c r="T19" s="53">
        <v>0.0425</v>
      </c>
      <c r="U19" s="3">
        <v>310.69</v>
      </c>
    </row>
    <row r="20" spans="1:21" ht="15.75">
      <c r="A20" s="10" t="s">
        <v>61</v>
      </c>
      <c r="B20" s="30"/>
      <c r="C20" s="31">
        <f>IF(DCA2&gt;0,($B$19-C19),"")</f>
        <v>80.75</v>
      </c>
      <c r="D20" s="31">
        <f>IF(DCA3&gt;0,($B$19-D19),"")</f>
        <v>161.5</v>
      </c>
      <c r="E20" s="31">
        <f>IF(DCA4&gt;0,($B$19-E19),"")</f>
        <v>242.25</v>
      </c>
      <c r="F20" s="31">
        <f>IF(DCA5&gt;0,($B$19-F19),"")</f>
        <v>323</v>
      </c>
      <c r="G20" s="31">
        <f>IF(DCA6&gt;0,($B$19-G19),"")</f>
        <v>504.69000000000005</v>
      </c>
      <c r="I20" s="2" t="s">
        <v>63</v>
      </c>
      <c r="K20" s="5"/>
      <c r="L20" s="36">
        <v>4</v>
      </c>
      <c r="M20" s="38">
        <v>0</v>
      </c>
      <c r="O20" s="3">
        <v>75650</v>
      </c>
      <c r="P20" s="3">
        <v>0.25</v>
      </c>
      <c r="Q20" s="3">
        <v>8550</v>
      </c>
      <c r="S20" s="4">
        <v>26821</v>
      </c>
      <c r="T20" s="53">
        <v>0.0625</v>
      </c>
      <c r="U20" s="3">
        <v>728.34</v>
      </c>
    </row>
    <row r="21" spans="1:21" ht="15.75">
      <c r="A21" s="10" t="s">
        <v>62</v>
      </c>
      <c r="B21" s="31">
        <f>(FTAX1)</f>
        <v>340.72</v>
      </c>
      <c r="C21" s="31">
        <f>IF(DCA2&gt;0,FTAX2,"")</f>
        <v>325.72</v>
      </c>
      <c r="D21" s="31">
        <f>IF(DCA3&gt;0,FTAX3,"")</f>
        <v>310.72</v>
      </c>
      <c r="E21" s="31">
        <f>IF(DCA4&gt;0,FTAX4,"")</f>
        <v>295.72</v>
      </c>
      <c r="F21" s="31">
        <f>IF(DCA5&gt;0,FTAX5,"")</f>
        <v>280.72</v>
      </c>
      <c r="G21" s="31">
        <f>IF(DCA6&gt;0,FTAX6,"")</f>
        <v>246.97</v>
      </c>
      <c r="I21" s="2" t="s">
        <v>65</v>
      </c>
      <c r="J21" s="3">
        <v>12</v>
      </c>
      <c r="K21" s="5"/>
      <c r="L21" s="36">
        <v>5</v>
      </c>
      <c r="M21" s="38">
        <v>0</v>
      </c>
      <c r="O21" s="3">
        <v>118130</v>
      </c>
      <c r="P21" s="3">
        <v>0.28</v>
      </c>
      <c r="Q21" s="3">
        <v>19170</v>
      </c>
      <c r="S21" s="4">
        <v>37233</v>
      </c>
      <c r="T21" s="53">
        <v>0.0825</v>
      </c>
      <c r="U21" s="3">
        <v>1379.09</v>
      </c>
    </row>
    <row r="22" spans="1:21" ht="15.75">
      <c r="A22" s="10" t="s">
        <v>64</v>
      </c>
      <c r="B22" s="31">
        <f>(STAX1)</f>
        <v>80.92</v>
      </c>
      <c r="C22" s="31">
        <f>IF(DCA2&gt;0,STAX2,"")</f>
        <v>76.67</v>
      </c>
      <c r="D22" s="31">
        <f>IF(DCA3&gt;0,STAX3,"")</f>
        <v>72.42</v>
      </c>
      <c r="E22" s="31">
        <f>IF(DCA4&gt;0,STAX4,"")</f>
        <v>68.17</v>
      </c>
      <c r="F22" s="31">
        <f>IF(DCA5&gt;0,STAX5,"")</f>
        <v>63.92</v>
      </c>
      <c r="G22" s="31">
        <f>IF(DCA6&gt;0,STAX6,"")</f>
        <v>54.36</v>
      </c>
      <c r="I22" s="2" t="s">
        <v>67</v>
      </c>
      <c r="J22" s="3">
        <f>(FEDE*FEDEXMPT)</f>
        <v>0</v>
      </c>
      <c r="K22" s="5"/>
      <c r="L22" s="36">
        <v>6</v>
      </c>
      <c r="M22" s="38">
        <v>0</v>
      </c>
      <c r="O22" s="3">
        <v>216600</v>
      </c>
      <c r="P22" s="3">
        <v>0.33</v>
      </c>
      <c r="Q22" s="3">
        <v>46741.6</v>
      </c>
      <c r="S22" s="4">
        <v>47055</v>
      </c>
      <c r="T22" s="53">
        <v>0.0955</v>
      </c>
      <c r="U22" s="3">
        <v>2189.41</v>
      </c>
    </row>
    <row r="23" spans="1:21" ht="15.75">
      <c r="A23" s="10" t="s">
        <v>66</v>
      </c>
      <c r="B23" s="31">
        <f aca="true" t="shared" si="0" ref="B23:G23">EPMC</f>
        <v>174.35</v>
      </c>
      <c r="C23" s="31">
        <f t="shared" si="0"/>
        <v>174.35</v>
      </c>
      <c r="D23" s="31">
        <f t="shared" si="0"/>
        <v>174.35</v>
      </c>
      <c r="E23" s="31">
        <f t="shared" si="0"/>
        <v>174.35</v>
      </c>
      <c r="F23" s="31">
        <f t="shared" si="0"/>
        <v>174.35</v>
      </c>
      <c r="G23" s="31">
        <f t="shared" si="0"/>
        <v>174.35</v>
      </c>
      <c r="I23" s="2" t="s">
        <v>69</v>
      </c>
      <c r="K23" s="5"/>
      <c r="L23" s="36">
        <v>7</v>
      </c>
      <c r="M23" s="38">
        <v>0</v>
      </c>
      <c r="O23" s="3">
        <v>380700</v>
      </c>
      <c r="P23" s="41">
        <v>0.35</v>
      </c>
      <c r="Q23" s="3">
        <v>100894.6</v>
      </c>
      <c r="S23" s="4">
        <v>1000000</v>
      </c>
      <c r="T23" s="53">
        <v>0.1055</v>
      </c>
      <c r="U23" s="3">
        <v>93195.66</v>
      </c>
    </row>
    <row r="24" spans="1:21" ht="15.75">
      <c r="A24" s="10" t="s">
        <v>68</v>
      </c>
      <c r="B24" s="31">
        <f aca="true" t="shared" si="1" ref="B24:G24">OASDI</f>
        <v>248</v>
      </c>
      <c r="C24" s="31">
        <f t="shared" si="1"/>
        <v>248</v>
      </c>
      <c r="D24" s="31">
        <f t="shared" si="1"/>
        <v>248</v>
      </c>
      <c r="E24" s="31">
        <f t="shared" si="1"/>
        <v>248</v>
      </c>
      <c r="F24" s="31">
        <f t="shared" si="1"/>
        <v>248</v>
      </c>
      <c r="G24" s="31">
        <f t="shared" si="1"/>
        <v>248</v>
      </c>
      <c r="I24" s="2" t="s">
        <v>71</v>
      </c>
      <c r="J24" s="3">
        <f>(PAYFACT*TG1)</f>
        <v>45907.8</v>
      </c>
      <c r="K24" s="5"/>
      <c r="L24" s="36">
        <v>8</v>
      </c>
      <c r="M24" s="38">
        <v>0</v>
      </c>
      <c r="O24" s="3">
        <v>999999.99</v>
      </c>
      <c r="P24" s="3">
        <v>0.31</v>
      </c>
      <c r="Q24" s="3">
        <v>99999.99</v>
      </c>
      <c r="S24" s="4">
        <v>9999999</v>
      </c>
      <c r="T24" s="53">
        <v>0.1055</v>
      </c>
      <c r="U24" s="3">
        <v>99999</v>
      </c>
    </row>
    <row r="25" spans="1:21" ht="15.75">
      <c r="A25" s="22" t="s">
        <v>70</v>
      </c>
      <c r="B25" s="31">
        <f aca="true" t="shared" si="2" ref="B25:G25">MED</f>
        <v>58</v>
      </c>
      <c r="C25" s="31">
        <f t="shared" si="2"/>
        <v>58</v>
      </c>
      <c r="D25" s="31">
        <f t="shared" si="2"/>
        <v>58</v>
      </c>
      <c r="E25" s="31">
        <f t="shared" si="2"/>
        <v>58</v>
      </c>
      <c r="F25" s="31">
        <f t="shared" si="2"/>
        <v>58</v>
      </c>
      <c r="G25" s="31">
        <f t="shared" si="2"/>
        <v>58</v>
      </c>
      <c r="I25" s="2" t="s">
        <v>73</v>
      </c>
      <c r="J25" s="3">
        <f>(PAYFACT*TG2)</f>
        <v>44707.8</v>
      </c>
      <c r="K25" s="5"/>
      <c r="L25" s="36">
        <v>9</v>
      </c>
      <c r="M25" s="38">
        <v>0</v>
      </c>
      <c r="O25" s="3"/>
      <c r="S25" s="4">
        <v>9999999</v>
      </c>
      <c r="T25" s="53">
        <v>0.1055</v>
      </c>
      <c r="U25" s="3">
        <v>99999</v>
      </c>
    </row>
    <row r="26" spans="1:21" ht="15.75">
      <c r="A26" s="10" t="s">
        <v>247</v>
      </c>
      <c r="B26" s="31">
        <f aca="true" t="shared" si="3" ref="B26:G26">SDI1</f>
        <v>0</v>
      </c>
      <c r="C26" s="31">
        <f t="shared" si="3"/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I26" s="2" t="s">
        <v>75</v>
      </c>
      <c r="J26" s="3">
        <f>(PAYFACT*TG3)</f>
        <v>43507.8</v>
      </c>
      <c r="K26" s="5"/>
      <c r="L26" s="36">
        <v>10</v>
      </c>
      <c r="M26" s="38">
        <v>0</v>
      </c>
      <c r="S26" s="4">
        <v>9999999</v>
      </c>
      <c r="T26" s="53">
        <v>0.1055</v>
      </c>
      <c r="U26" s="3">
        <v>99999</v>
      </c>
    </row>
    <row r="27" spans="1:21" ht="15.75">
      <c r="A27" s="10" t="s">
        <v>72</v>
      </c>
      <c r="B27" s="31">
        <f>J13</f>
        <v>3825.65</v>
      </c>
      <c r="C27" s="31">
        <f>J14</f>
        <v>3725.65</v>
      </c>
      <c r="D27" s="31">
        <f>J15</f>
        <v>3625.65</v>
      </c>
      <c r="E27" s="31">
        <f>J16</f>
        <v>3525.65</v>
      </c>
      <c r="F27" s="31">
        <f>J17</f>
        <v>3425.65</v>
      </c>
      <c r="G27" s="31">
        <f>J18</f>
        <v>3200.65</v>
      </c>
      <c r="I27" s="2" t="s">
        <v>77</v>
      </c>
      <c r="J27" s="3">
        <f>(PAYFACT*TG4)</f>
        <v>42307.8</v>
      </c>
      <c r="K27" s="5"/>
      <c r="L27" s="36">
        <v>11</v>
      </c>
      <c r="M27" s="38">
        <v>0</v>
      </c>
      <c r="S27" s="4">
        <v>9999999</v>
      </c>
      <c r="T27" s="53">
        <v>0.1055</v>
      </c>
      <c r="U27" s="3">
        <v>99999</v>
      </c>
    </row>
    <row r="28" spans="1:13" ht="15.75">
      <c r="A28" s="22" t="s">
        <v>74</v>
      </c>
      <c r="B28" s="31">
        <f>J13</f>
        <v>3825.65</v>
      </c>
      <c r="C28" s="31">
        <f>J14</f>
        <v>3725.65</v>
      </c>
      <c r="D28" s="31">
        <f>J15</f>
        <v>3625.65</v>
      </c>
      <c r="E28" s="31">
        <f>J16</f>
        <v>3525.65</v>
      </c>
      <c r="F28" s="31">
        <f>J17</f>
        <v>3425.65</v>
      </c>
      <c r="G28" s="31">
        <f>J18</f>
        <v>3200.65</v>
      </c>
      <c r="I28" s="2" t="s">
        <v>79</v>
      </c>
      <c r="J28" s="3">
        <f>(PAYFACT*TG5)</f>
        <v>41107.8</v>
      </c>
      <c r="K28" s="5"/>
      <c r="L28" s="36">
        <v>12</v>
      </c>
      <c r="M28" s="38">
        <v>0</v>
      </c>
    </row>
    <row r="29" spans="1:19" ht="15.75">
      <c r="A29" s="10" t="s">
        <v>76</v>
      </c>
      <c r="B29" s="31">
        <f aca="true" t="shared" si="4" ref="B29:G29">$J$9</f>
        <v>4000</v>
      </c>
      <c r="C29" s="31">
        <f t="shared" si="4"/>
        <v>4000</v>
      </c>
      <c r="D29" s="31">
        <f t="shared" si="4"/>
        <v>4000</v>
      </c>
      <c r="E29" s="31">
        <f t="shared" si="4"/>
        <v>4000</v>
      </c>
      <c r="F29" s="31">
        <f t="shared" si="4"/>
        <v>4000</v>
      </c>
      <c r="G29" s="31">
        <f t="shared" si="4"/>
        <v>4000</v>
      </c>
      <c r="I29" s="2" t="s">
        <v>80</v>
      </c>
      <c r="J29" s="3">
        <f>(PAYFACT*TG6)</f>
        <v>38407.8</v>
      </c>
      <c r="K29" s="5"/>
      <c r="L29" s="36">
        <v>13</v>
      </c>
      <c r="M29" s="38">
        <v>0</v>
      </c>
      <c r="S29" s="2" t="s">
        <v>83</v>
      </c>
    </row>
    <row r="30" spans="1:21" ht="16.5" thickBot="1">
      <c r="A30" s="14" t="s">
        <v>78</v>
      </c>
      <c r="B30" s="32">
        <f aca="true" t="shared" si="5" ref="B30:G30">$J$10</f>
        <v>4000</v>
      </c>
      <c r="C30" s="32">
        <f t="shared" si="5"/>
        <v>4000</v>
      </c>
      <c r="D30" s="32">
        <f t="shared" si="5"/>
        <v>4000</v>
      </c>
      <c r="E30" s="32">
        <f t="shared" si="5"/>
        <v>4000</v>
      </c>
      <c r="F30" s="32">
        <f t="shared" si="5"/>
        <v>4000</v>
      </c>
      <c r="G30" s="32">
        <f t="shared" si="5"/>
        <v>4000</v>
      </c>
      <c r="K30" s="5"/>
      <c r="L30" s="36">
        <v>14</v>
      </c>
      <c r="M30" s="38">
        <v>0</v>
      </c>
      <c r="S30" s="2" t="s">
        <v>20</v>
      </c>
      <c r="T30" s="2" t="s">
        <v>21</v>
      </c>
      <c r="U30" s="2" t="s">
        <v>22</v>
      </c>
    </row>
    <row r="31" spans="9:21" ht="15.75">
      <c r="I31" s="2" t="s">
        <v>82</v>
      </c>
      <c r="K31" s="3"/>
      <c r="L31" s="36">
        <v>15</v>
      </c>
      <c r="M31" s="38">
        <v>0</v>
      </c>
      <c r="S31" s="4">
        <v>0</v>
      </c>
      <c r="T31" s="53">
        <v>0.0125</v>
      </c>
      <c r="U31" s="3">
        <v>0</v>
      </c>
    </row>
    <row r="32" spans="3:21" ht="15.75">
      <c r="C32" s="46" t="s">
        <v>81</v>
      </c>
      <c r="I32" s="2" t="s">
        <v>85</v>
      </c>
      <c r="J32" s="3">
        <f>(FAN1-FEDEXM)</f>
        <v>45907.8</v>
      </c>
      <c r="K32" s="3"/>
      <c r="L32" s="36">
        <v>16</v>
      </c>
      <c r="M32" s="38">
        <v>0</v>
      </c>
      <c r="S32" s="4">
        <v>14336</v>
      </c>
      <c r="T32" s="53">
        <v>0.0225</v>
      </c>
      <c r="U32" s="3">
        <v>179.2</v>
      </c>
    </row>
    <row r="33" spans="9:21" ht="15.75">
      <c r="I33" s="2" t="s">
        <v>87</v>
      </c>
      <c r="J33" s="3">
        <f>(J25-FEDEXM)</f>
        <v>44707.8</v>
      </c>
      <c r="K33" s="3"/>
      <c r="L33" s="36">
        <v>17</v>
      </c>
      <c r="M33" s="38">
        <v>0</v>
      </c>
      <c r="S33" s="4">
        <v>33988</v>
      </c>
      <c r="T33" s="53">
        <v>0.0425</v>
      </c>
      <c r="U33" s="3">
        <v>621.37</v>
      </c>
    </row>
    <row r="34" spans="1:21" ht="15.75">
      <c r="A34" t="s">
        <v>84</v>
      </c>
      <c r="I34" s="2" t="s">
        <v>89</v>
      </c>
      <c r="J34" s="3">
        <f>(J26-FEDEXM)</f>
        <v>43507.8</v>
      </c>
      <c r="K34" s="3"/>
      <c r="L34" s="36">
        <v>18</v>
      </c>
      <c r="M34" s="38">
        <v>0</v>
      </c>
      <c r="S34" s="4">
        <v>53642</v>
      </c>
      <c r="T34" s="53">
        <v>0.0625</v>
      </c>
      <c r="U34" s="3">
        <v>1456.67</v>
      </c>
    </row>
    <row r="35" spans="1:21" ht="15.75">
      <c r="A35" t="s">
        <v>86</v>
      </c>
      <c r="I35" s="2" t="s">
        <v>91</v>
      </c>
      <c r="J35" s="3">
        <f>(J27-FEDEXM)</f>
        <v>42307.8</v>
      </c>
      <c r="K35" s="3"/>
      <c r="L35" s="36">
        <v>19</v>
      </c>
      <c r="M35" s="38">
        <v>0</v>
      </c>
      <c r="S35" s="4">
        <v>74466</v>
      </c>
      <c r="T35" s="53">
        <v>0.0825</v>
      </c>
      <c r="U35" s="3">
        <v>2758.17</v>
      </c>
    </row>
    <row r="36" spans="1:21" ht="15.75">
      <c r="A36" t="s">
        <v>88</v>
      </c>
      <c r="C36" s="1"/>
      <c r="I36" s="2" t="s">
        <v>93</v>
      </c>
      <c r="J36" s="3">
        <f>(J28-FEDEXM)</f>
        <v>41107.8</v>
      </c>
      <c r="K36" s="3"/>
      <c r="L36" s="36">
        <v>20</v>
      </c>
      <c r="M36" s="38">
        <v>0</v>
      </c>
      <c r="S36" s="4">
        <v>94110</v>
      </c>
      <c r="T36" s="53">
        <v>0.0955</v>
      </c>
      <c r="U36" s="3">
        <v>4378.8</v>
      </c>
    </row>
    <row r="37" spans="1:21" ht="15.75">
      <c r="A37" t="s">
        <v>90</v>
      </c>
      <c r="C37" s="1"/>
      <c r="I37" s="2" t="s">
        <v>95</v>
      </c>
      <c r="J37" s="3">
        <f>(J29-FEDEXM)</f>
        <v>38407.8</v>
      </c>
      <c r="K37" s="3"/>
      <c r="L37" s="36">
        <v>21</v>
      </c>
      <c r="M37" s="38">
        <v>0</v>
      </c>
      <c r="S37" s="4">
        <v>1000000</v>
      </c>
      <c r="T37" s="53">
        <v>0.1055</v>
      </c>
      <c r="U37" s="3">
        <v>90891.3</v>
      </c>
    </row>
    <row r="38" spans="1:21" ht="15.75">
      <c r="A38" t="s">
        <v>92</v>
      </c>
      <c r="K38" s="3"/>
      <c r="L38" s="36" t="s">
        <v>214</v>
      </c>
      <c r="M38" s="38">
        <v>0</v>
      </c>
      <c r="S38" s="4">
        <v>9999999</v>
      </c>
      <c r="T38" s="53">
        <v>0.1055</v>
      </c>
      <c r="U38" s="3">
        <v>99999</v>
      </c>
    </row>
    <row r="39" spans="1:21" ht="15.75">
      <c r="A39" s="2" t="s">
        <v>94</v>
      </c>
      <c r="I39" s="2" t="s">
        <v>97</v>
      </c>
      <c r="K39" s="3"/>
      <c r="L39" s="36" t="s">
        <v>215</v>
      </c>
      <c r="M39" s="38">
        <v>0</v>
      </c>
      <c r="S39" s="4">
        <v>9999999</v>
      </c>
      <c r="T39" s="53">
        <v>0.1055</v>
      </c>
      <c r="U39" s="3">
        <v>99999</v>
      </c>
    </row>
    <row r="40" spans="1:21" ht="15.75">
      <c r="A40" s="2" t="s">
        <v>96</v>
      </c>
      <c r="I40" s="2" t="s">
        <v>99</v>
      </c>
      <c r="J40" s="3">
        <f>IF(OR(FEDM="S",FEDM="H"),VLOOKUP(FTG1,FTXTBLSH,1),IF(FEDM="M",VLOOKUP(FTG1,FTXTBLM,1),0))</f>
        <v>24450</v>
      </c>
      <c r="K40" s="3"/>
      <c r="L40" s="42" t="s">
        <v>213</v>
      </c>
      <c r="M40" s="38">
        <v>0</v>
      </c>
      <c r="S40" s="4">
        <v>9999999</v>
      </c>
      <c r="T40" s="53">
        <v>0.1055</v>
      </c>
      <c r="U40" s="3">
        <v>99999</v>
      </c>
    </row>
    <row r="41" spans="1:21" ht="15.75">
      <c r="A41" s="2" t="s">
        <v>7</v>
      </c>
      <c r="C41" t="s">
        <v>7</v>
      </c>
      <c r="I41" s="2" t="s">
        <v>100</v>
      </c>
      <c r="J41" s="3">
        <f>IF(OR(FEDM="S",FEDM="H"),VLOOKUP(J33,FTXTBLSH,1),IF(FEDM="M",VLOOKUP(J33,FTXTBLM,1),0))</f>
        <v>24450</v>
      </c>
      <c r="S41" s="4">
        <v>9999999</v>
      </c>
      <c r="T41" s="53">
        <v>0.1055</v>
      </c>
      <c r="U41" s="3">
        <v>99999</v>
      </c>
    </row>
    <row r="42" spans="1:10" ht="15.75">
      <c r="A42" s="45" t="s">
        <v>98</v>
      </c>
      <c r="C42" t="s">
        <v>7</v>
      </c>
      <c r="I42" s="2" t="s">
        <v>101</v>
      </c>
      <c r="J42" s="3">
        <f>IF(OR(FEDM="S",FEDM="H"),VLOOKUP(J34,FTXTBLSH,1),IF(FEDM="M",VLOOKUP(J34,FTXTBLM,1),0))</f>
        <v>24450</v>
      </c>
    </row>
    <row r="43" spans="9:19" ht="15.75">
      <c r="I43" s="2" t="s">
        <v>103</v>
      </c>
      <c r="J43" s="3">
        <f>IF(OR(FEDM="S",FEDM="H"),VLOOKUP(J35,FTXTBLSH,1),IF(FEDM="M",VLOOKUP(J35,FTXTBLM,1),0))</f>
        <v>24450</v>
      </c>
      <c r="K43" s="3"/>
      <c r="S43" s="2" t="s">
        <v>106</v>
      </c>
    </row>
    <row r="44" spans="1:21" ht="15.75">
      <c r="A44" s="48" t="s">
        <v>217</v>
      </c>
      <c r="I44" s="2" t="s">
        <v>104</v>
      </c>
      <c r="J44" s="3">
        <f>IF(OR(FEDM="S",FEDM="H"),VLOOKUP(J36,FTXTBLSH,1),IF(FEDM="M",VLOOKUP(J36,FTXTBLM,1),0))</f>
        <v>24450</v>
      </c>
      <c r="K44" s="3"/>
      <c r="S44" s="2" t="s">
        <v>20</v>
      </c>
      <c r="T44" s="2" t="s">
        <v>21</v>
      </c>
      <c r="U44" s="2" t="s">
        <v>22</v>
      </c>
    </row>
    <row r="45" spans="1:21" ht="15.75">
      <c r="A45" s="2" t="s">
        <v>102</v>
      </c>
      <c r="C45" t="s">
        <v>7</v>
      </c>
      <c r="I45" s="2" t="s">
        <v>105</v>
      </c>
      <c r="J45" s="3">
        <f>IF(OR(FEDM="S",FEDM="H"),VLOOKUP(J37,FTXTBLSH,1),IF(FEDM="M",VLOOKUP(J37,FTXTBLM,1),0))</f>
        <v>24450</v>
      </c>
      <c r="S45" s="4">
        <v>0</v>
      </c>
      <c r="T45" s="53">
        <v>0.0125</v>
      </c>
      <c r="U45" s="3">
        <v>0</v>
      </c>
    </row>
    <row r="46" spans="1:21" ht="15.75">
      <c r="A46" s="2"/>
      <c r="K46" s="3"/>
      <c r="S46" s="4">
        <v>14345</v>
      </c>
      <c r="T46" s="53">
        <v>0.0225</v>
      </c>
      <c r="U46" s="3">
        <v>179.31</v>
      </c>
    </row>
    <row r="47" spans="1:21" ht="15.75">
      <c r="A47" s="47" t="s">
        <v>230</v>
      </c>
      <c r="I47" s="2" t="s">
        <v>107</v>
      </c>
      <c r="K47" s="3"/>
      <c r="S47" s="4">
        <v>33989</v>
      </c>
      <c r="T47" s="53">
        <v>0.0425</v>
      </c>
      <c r="U47" s="3">
        <v>621.3</v>
      </c>
    </row>
    <row r="48" spans="1:21" ht="15.75">
      <c r="A48" s="2" t="s">
        <v>242</v>
      </c>
      <c r="I48" s="2" t="s">
        <v>108</v>
      </c>
      <c r="J48" s="3">
        <f>IF(OR(FEDM="S",FEDM="H"),VLOOKUP(FTG1,FTXTBLSH,2),IF(FEDM="M",VLOOKUP(FTG1,FTXTBLM,2),0))</f>
        <v>0.15</v>
      </c>
      <c r="K48" s="3"/>
      <c r="S48" s="4">
        <v>43814</v>
      </c>
      <c r="T48" s="53">
        <v>0.0625</v>
      </c>
      <c r="U48" s="3">
        <v>1038.86</v>
      </c>
    </row>
    <row r="49" spans="1:21" ht="15.75">
      <c r="A49" s="2"/>
      <c r="C49" t="s">
        <v>7</v>
      </c>
      <c r="I49" s="2" t="s">
        <v>109</v>
      </c>
      <c r="J49" s="3">
        <f>IF(OR(FEDM="S",FEDM="H"),VLOOKUP(J33,FTXTBLSH,2),IF(FEDM="M",VLOOKUP(J33,FTXTBLM,2),0))</f>
        <v>0.15</v>
      </c>
      <c r="K49" s="3"/>
      <c r="S49" s="4">
        <v>54225</v>
      </c>
      <c r="T49" s="53">
        <v>0.0825</v>
      </c>
      <c r="U49" s="3">
        <v>1689.55</v>
      </c>
    </row>
    <row r="50" spans="1:21" ht="15.75">
      <c r="A50" s="47" t="s">
        <v>218</v>
      </c>
      <c r="I50" s="2" t="s">
        <v>110</v>
      </c>
      <c r="J50" s="3">
        <f>IF(OR(FEDM="S",FEDM="H"),VLOOKUP(J34,FTXTBLSH,2),IF(FEDM="M",VLOOKUP(J34,FTXTBLM,2),0))</f>
        <v>0.15</v>
      </c>
      <c r="K50" s="3"/>
      <c r="S50" s="4">
        <v>64050</v>
      </c>
      <c r="T50" s="53">
        <v>0.0955</v>
      </c>
      <c r="U50" s="3">
        <v>2500.11</v>
      </c>
    </row>
    <row r="51" spans="1:21" ht="15.75">
      <c r="A51" s="2" t="s">
        <v>255</v>
      </c>
      <c r="I51" s="2" t="s">
        <v>111</v>
      </c>
      <c r="J51" s="3">
        <f>IF(OR(FEDM="S",FEDM="H"),VLOOKUP(J35,FTXTBLSH,2),IF(FEDM="M",VLOOKUP(J35,FTXTBLM,2),0))</f>
        <v>0.15</v>
      </c>
      <c r="K51" s="3"/>
      <c r="S51" s="4">
        <v>1000000</v>
      </c>
      <c r="T51" s="53">
        <v>0.1055</v>
      </c>
      <c r="U51" s="3">
        <v>91883.34</v>
      </c>
    </row>
    <row r="52" spans="1:21" ht="15.75">
      <c r="A52" t="s">
        <v>251</v>
      </c>
      <c r="I52" s="2" t="s">
        <v>113</v>
      </c>
      <c r="J52" s="3">
        <f>IF(OR(FEDM="S",FEDM="H"),VLOOKUP(J36,FTXTBLSH,2),IF(FEDM="M",VLOOKUP(J36,FTXTBLM,2),0))</f>
        <v>0.15</v>
      </c>
      <c r="S52" s="4">
        <v>9999999</v>
      </c>
      <c r="T52" s="53">
        <v>0.1055</v>
      </c>
      <c r="U52" s="3">
        <v>99999</v>
      </c>
    </row>
    <row r="53" spans="1:21" ht="15.75">
      <c r="A53" t="s">
        <v>254</v>
      </c>
      <c r="I53" s="2" t="s">
        <v>114</v>
      </c>
      <c r="J53" s="3">
        <f>IF(OR(FEDM="S",FEDM="H"),VLOOKUP(J37,FTXTBLSH,2),IF(FEDM="M",VLOOKUP(J37,FTXTBLM,2),0))</f>
        <v>0.15</v>
      </c>
      <c r="S53" s="4">
        <v>9999999</v>
      </c>
      <c r="T53" s="53">
        <v>0.1055</v>
      </c>
      <c r="U53" s="3">
        <v>99999</v>
      </c>
    </row>
    <row r="54" spans="1:21" ht="15.75">
      <c r="A54" s="2"/>
      <c r="K54" s="3"/>
      <c r="S54" s="4">
        <v>9999999</v>
      </c>
      <c r="T54" s="53">
        <v>0.1055</v>
      </c>
      <c r="U54" s="3">
        <v>99999</v>
      </c>
    </row>
    <row r="55" spans="1:21" ht="15.75">
      <c r="A55" s="47" t="s">
        <v>219</v>
      </c>
      <c r="I55" s="2" t="s">
        <v>115</v>
      </c>
      <c r="K55" s="3"/>
      <c r="S55" s="4">
        <v>9999999</v>
      </c>
      <c r="T55" s="53">
        <v>0.1055</v>
      </c>
      <c r="U55" s="3">
        <v>99999</v>
      </c>
    </row>
    <row r="56" spans="1:11" ht="15.75">
      <c r="A56" s="2" t="s">
        <v>7</v>
      </c>
      <c r="I56" s="2" t="s">
        <v>116</v>
      </c>
      <c r="J56" s="3">
        <f>IF(OR(FEDM="S",FEDM="H"),VLOOKUP(FTG1,FTXTBLSH,3),IF(FEDM="M",VLOOKUP(FTG1,FTXTBLM,3),0))</f>
        <v>870</v>
      </c>
      <c r="K56" s="3"/>
    </row>
    <row r="57" spans="1:19" ht="15.75">
      <c r="A57" s="48" t="s">
        <v>220</v>
      </c>
      <c r="I57" s="2" t="s">
        <v>117</v>
      </c>
      <c r="J57" s="3">
        <f>IF(OR(FEDM="S",FEDM="H"),VLOOKUP(J33,FTXTBLSH,3),IF(FEDM="M",VLOOKUP(J33,FTXTBLM,3),0))</f>
        <v>870</v>
      </c>
      <c r="K57" s="3"/>
      <c r="S57" s="2" t="s">
        <v>120</v>
      </c>
    </row>
    <row r="58" spans="1:20" ht="15.75">
      <c r="A58" t="s">
        <v>112</v>
      </c>
      <c r="C58" s="1"/>
      <c r="I58" s="2" t="s">
        <v>118</v>
      </c>
      <c r="J58" s="3">
        <f>IF(OR(FEDM="S",FEDM="H"),VLOOKUP(J34,FTXTBLSH,3),IF(FEDM="M",VLOOKUP(J34,FTXTBLM,3),0))</f>
        <v>870</v>
      </c>
      <c r="K58" s="3"/>
      <c r="S58" s="2" t="s">
        <v>122</v>
      </c>
      <c r="T58" s="2" t="s">
        <v>123</v>
      </c>
    </row>
    <row r="59" spans="9:23" ht="15.75">
      <c r="I59" s="2" t="s">
        <v>119</v>
      </c>
      <c r="J59" s="3">
        <f>IF(OR(FEDM="S",FEDM="H"),VLOOKUP(J35,FTXTBLSH,3),IF(FEDM="M",VLOOKUP(J35,FTXTBLM,3),0))</f>
        <v>870</v>
      </c>
      <c r="K59" s="3"/>
      <c r="S59" s="2" t="s">
        <v>125</v>
      </c>
      <c r="T59">
        <v>0</v>
      </c>
      <c r="U59">
        <v>1</v>
      </c>
      <c r="V59">
        <v>2</v>
      </c>
      <c r="W59" s="7" t="s">
        <v>126</v>
      </c>
    </row>
    <row r="60" spans="1:24" ht="15.75">
      <c r="A60" s="48" t="s">
        <v>221</v>
      </c>
      <c r="I60" s="2" t="s">
        <v>121</v>
      </c>
      <c r="J60" s="3">
        <f>IF(OR(FEDM="S",FEDM="H"),VLOOKUP(J36,FTXTBLSH,3),IF(FEDM="M",VLOOKUP(J36,FTXTBLM,3),0))</f>
        <v>870</v>
      </c>
      <c r="S60" s="2" t="s">
        <v>34</v>
      </c>
      <c r="T60">
        <v>0</v>
      </c>
      <c r="U60">
        <v>99</v>
      </c>
      <c r="V60">
        <v>198</v>
      </c>
      <c r="W60">
        <v>99</v>
      </c>
      <c r="X60" s="2" t="s">
        <v>127</v>
      </c>
    </row>
    <row r="61" spans="9:24" ht="15.75">
      <c r="I61" s="2" t="s">
        <v>124</v>
      </c>
      <c r="J61" s="3">
        <f>IF(OR(FEDM="S",FEDM="H"),VLOOKUP(J37,FTXTBLSH,3),IF(FEDM="M",VLOOKUP(J37,FTXTBLM,3),0))</f>
        <v>870</v>
      </c>
      <c r="S61" s="2" t="s">
        <v>129</v>
      </c>
      <c r="T61">
        <v>0</v>
      </c>
      <c r="U61">
        <v>99</v>
      </c>
      <c r="V61">
        <v>198</v>
      </c>
      <c r="W61">
        <v>99</v>
      </c>
      <c r="X61" s="2" t="s">
        <v>127</v>
      </c>
    </row>
    <row r="62" spans="1:11" ht="15.75">
      <c r="A62" s="48" t="s">
        <v>222</v>
      </c>
      <c r="K62" s="3"/>
    </row>
    <row r="63" spans="9:11" ht="15.75">
      <c r="I63" s="2" t="s">
        <v>128</v>
      </c>
      <c r="K63" s="3"/>
    </row>
    <row r="64" spans="1:11" ht="15.75">
      <c r="A64" s="48" t="s">
        <v>223</v>
      </c>
      <c r="I64" s="2" t="s">
        <v>130</v>
      </c>
      <c r="J64" s="3">
        <f>(FTG1-FBSA1)</f>
        <v>21457.800000000003</v>
      </c>
      <c r="K64" s="3"/>
    </row>
    <row r="65" spans="9:11" ht="15.75">
      <c r="I65" s="2" t="s">
        <v>131</v>
      </c>
      <c r="J65" s="3">
        <f>(J33-J41)</f>
        <v>20257.800000000003</v>
      </c>
      <c r="K65" s="3"/>
    </row>
    <row r="66" spans="1:11" ht="15.75">
      <c r="A66" s="48" t="s">
        <v>224</v>
      </c>
      <c r="I66" s="2" t="s">
        <v>132</v>
      </c>
      <c r="J66" s="3">
        <f>(J34-J42)</f>
        <v>19057.800000000003</v>
      </c>
      <c r="K66" s="3"/>
    </row>
    <row r="67" spans="9:11" ht="15.75">
      <c r="I67" s="2" t="s">
        <v>133</v>
      </c>
      <c r="J67" s="3">
        <f>(J35-J43)</f>
        <v>17857.800000000003</v>
      </c>
      <c r="K67" s="3"/>
    </row>
    <row r="68" spans="1:10" ht="15.75">
      <c r="A68" s="48" t="s">
        <v>225</v>
      </c>
      <c r="I68" s="2" t="s">
        <v>134</v>
      </c>
      <c r="J68" s="3">
        <f>(J36-J44)</f>
        <v>16657.800000000003</v>
      </c>
    </row>
    <row r="69" spans="1:10" ht="15.75">
      <c r="A69" s="48"/>
      <c r="I69" s="2" t="s">
        <v>135</v>
      </c>
      <c r="J69" s="3">
        <f>(J37-J45)</f>
        <v>13957.800000000003</v>
      </c>
    </row>
    <row r="70" spans="1:11" ht="15.75">
      <c r="A70" s="48" t="s">
        <v>249</v>
      </c>
      <c r="K70" s="3"/>
    </row>
    <row r="71" spans="9:11" ht="15.75">
      <c r="I71" s="2" t="s">
        <v>137</v>
      </c>
      <c r="K71" s="3"/>
    </row>
    <row r="72" spans="1:11" ht="15.75">
      <c r="A72" s="48" t="s">
        <v>238</v>
      </c>
      <c r="I72" s="2" t="s">
        <v>139</v>
      </c>
      <c r="J72" s="3">
        <f>(FBST1+ROUND(FOVR1*FMTR1,5))</f>
        <v>4088.67</v>
      </c>
      <c r="K72" s="3"/>
    </row>
    <row r="73" spans="1:11" ht="15.75">
      <c r="A73" t="s">
        <v>239</v>
      </c>
      <c r="I73" s="2" t="s">
        <v>141</v>
      </c>
      <c r="J73" s="3">
        <f>(J57+ROUND(J65*FMTR2,5))</f>
        <v>3908.67</v>
      </c>
      <c r="K73" s="3"/>
    </row>
    <row r="74" spans="9:11" ht="15.75">
      <c r="I74" s="2" t="s">
        <v>142</v>
      </c>
      <c r="J74" s="3">
        <f>(J58+ROUND(J66*FMTR3,5))</f>
        <v>3728.67</v>
      </c>
      <c r="K74" s="3"/>
    </row>
    <row r="75" spans="1:11" ht="15.75">
      <c r="A75" s="48" t="s">
        <v>226</v>
      </c>
      <c r="I75" s="2" t="s">
        <v>143</v>
      </c>
      <c r="J75" s="3">
        <f>(J59+ROUND(J67*FMTR4,5))</f>
        <v>3548.67</v>
      </c>
      <c r="K75" s="3"/>
    </row>
    <row r="76" spans="1:10" ht="15.75">
      <c r="A76" t="s">
        <v>232</v>
      </c>
      <c r="I76" s="2" t="s">
        <v>144</v>
      </c>
      <c r="J76" s="3">
        <f>(J60+ROUND(J68*FMTR5,5))</f>
        <v>3368.67</v>
      </c>
    </row>
    <row r="77" spans="9:10" ht="15.75">
      <c r="I77" s="2" t="s">
        <v>145</v>
      </c>
      <c r="J77" s="3">
        <f>(J61+ROUND(J69*FMTR6,5))</f>
        <v>2963.67</v>
      </c>
    </row>
    <row r="78" spans="1:11" ht="15.75">
      <c r="A78" s="48" t="s">
        <v>227</v>
      </c>
      <c r="K78" s="3"/>
    </row>
    <row r="79" spans="1:11" ht="15.75">
      <c r="A79" t="s">
        <v>136</v>
      </c>
      <c r="I79" s="2" t="s">
        <v>147</v>
      </c>
      <c r="K79" s="3"/>
    </row>
    <row r="80" spans="1:11" ht="15.75">
      <c r="A80" t="s">
        <v>138</v>
      </c>
      <c r="I80" s="2" t="s">
        <v>148</v>
      </c>
      <c r="J80" s="3">
        <f>ROUND(FTA1/PAYFACT,2)</f>
        <v>340.72</v>
      </c>
      <c r="K80" s="3"/>
    </row>
    <row r="81" spans="1:11" ht="15.75">
      <c r="A81" t="s">
        <v>140</v>
      </c>
      <c r="I81" s="2" t="s">
        <v>149</v>
      </c>
      <c r="J81" s="3">
        <f>ROUND(J73/PAYFACT,2)</f>
        <v>325.72</v>
      </c>
      <c r="K81" s="3"/>
    </row>
    <row r="82" spans="9:11" ht="15.75">
      <c r="I82" s="2" t="s">
        <v>150</v>
      </c>
      <c r="J82" s="3">
        <f>ROUND(J74/PAYFACT,2)</f>
        <v>310.72</v>
      </c>
      <c r="K82" s="3"/>
    </row>
    <row r="83" spans="1:11" ht="15.75">
      <c r="A83" s="48" t="s">
        <v>228</v>
      </c>
      <c r="I83" s="2" t="s">
        <v>151</v>
      </c>
      <c r="J83" s="3">
        <f>ROUND(J75/PAYFACT,2)</f>
        <v>295.72</v>
      </c>
      <c r="K83" s="3"/>
    </row>
    <row r="84" spans="1:10" ht="15.75">
      <c r="A84" t="s">
        <v>236</v>
      </c>
      <c r="I84" s="2" t="s">
        <v>152</v>
      </c>
      <c r="J84" s="3">
        <f>ROUND(J76/PAYFACT,2)</f>
        <v>280.72</v>
      </c>
    </row>
    <row r="85" spans="9:10" ht="15.75">
      <c r="I85" s="2" t="s">
        <v>153</v>
      </c>
      <c r="J85" s="3">
        <f>ROUND(J77/PAYFACT,2)</f>
        <v>246.97</v>
      </c>
    </row>
    <row r="86" spans="1:11" ht="15.75">
      <c r="A86" s="48" t="s">
        <v>229</v>
      </c>
      <c r="K86" s="3"/>
    </row>
    <row r="87" spans="1:11" ht="15.75">
      <c r="A87" t="s">
        <v>146</v>
      </c>
      <c r="I87" s="2" t="s">
        <v>154</v>
      </c>
      <c r="K87" s="3"/>
    </row>
    <row r="88" spans="1:11" ht="15.75">
      <c r="A88" t="s">
        <v>233</v>
      </c>
      <c r="I88" s="2" t="s">
        <v>155</v>
      </c>
      <c r="J88" s="3">
        <f>IF(STM="S",LIES,IF(AND(STM="M",STE&lt;2),LIEM1,IF(AND(STM="M",STE&gt;=2),LIEM2,IF(STM="H",LIEH,99999))))</f>
        <v>11278</v>
      </c>
      <c r="K88" s="3"/>
    </row>
    <row r="89" spans="1:11" ht="15.75">
      <c r="A89" t="s">
        <v>234</v>
      </c>
      <c r="I89" s="2" t="s">
        <v>156</v>
      </c>
      <c r="J89" s="3">
        <f>(STA*SADDALL)</f>
        <v>0</v>
      </c>
      <c r="K89" s="3"/>
    </row>
    <row r="90" spans="9:11" ht="15.75">
      <c r="I90" s="2" t="s">
        <v>157</v>
      </c>
      <c r="J90" s="3">
        <f>IF(STM="S",SDS,IF(AND(STM="M",STE&lt;2),SDM1,IF(AND(STM="M",STE&gt;=2),SDM2,IF(STM="H",SDH,0))))</f>
        <v>3692</v>
      </c>
      <c r="K90" s="3"/>
    </row>
    <row r="91" spans="9:11" ht="15.75">
      <c r="I91" s="2" t="s">
        <v>158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</row>
    <row r="92" spans="9:10" ht="15.75">
      <c r="I92" s="2" t="s">
        <v>159</v>
      </c>
      <c r="J92" s="3">
        <f>IF(STE&lt;3,0,STE-2)</f>
        <v>0</v>
      </c>
    </row>
    <row r="93" spans="9:10" ht="15.75">
      <c r="I93" s="2" t="s">
        <v>160</v>
      </c>
      <c r="J93" s="3">
        <f>IF(STM="S",TCRSR,TCRMR)</f>
        <v>99</v>
      </c>
    </row>
    <row r="94" spans="9:11" ht="15.75">
      <c r="I94" s="2" t="s">
        <v>161</v>
      </c>
      <c r="J94" s="3">
        <f>(TXCRB+(TXCROV2*TXCRR))</f>
        <v>0</v>
      </c>
      <c r="K94" s="3"/>
    </row>
    <row r="95" spans="9:11" ht="15.75">
      <c r="I95" s="2"/>
      <c r="J95" s="3"/>
      <c r="K95" s="3"/>
    </row>
    <row r="96" spans="9:11" ht="15.75">
      <c r="I96" s="2" t="s">
        <v>162</v>
      </c>
      <c r="K96" s="3"/>
    </row>
    <row r="97" spans="9:11" ht="15.75">
      <c r="I97" s="2" t="s">
        <v>163</v>
      </c>
      <c r="J97" s="3">
        <f>IF((PAYFACT*TG1)-ADDALLOW-SDED&lt;=0,0,(PAYFACT*TG1)-ADDALLOW-SDED)</f>
        <v>42215.8</v>
      </c>
      <c r="K97" s="3"/>
    </row>
    <row r="98" spans="9:11" ht="15.75">
      <c r="I98" s="2" t="s">
        <v>164</v>
      </c>
      <c r="J98" s="3">
        <f>IF((PAYFACT*TG2)-ADDALLOW-SDED&lt;=0,0,(PAYFACT*TG2)-ADDALLOW-SDED)</f>
        <v>41015.8</v>
      </c>
      <c r="K98" s="3"/>
    </row>
    <row r="99" spans="9:11" ht="15.75">
      <c r="I99" s="2" t="s">
        <v>165</v>
      </c>
      <c r="J99" s="3">
        <f>IF((PAYFACT*TG3)-ADDALLOW-SDED&lt;=0,0,(PAYFACT*TG3)-ADDALLOW-SDED)</f>
        <v>39815.8</v>
      </c>
      <c r="K99" s="3"/>
    </row>
    <row r="100" spans="9:10" ht="15.75">
      <c r="I100" s="2" t="s">
        <v>166</v>
      </c>
      <c r="J100" s="3">
        <f>IF((PAYFACT*TG4)-ADDALLOW-SDED&lt;=0,0,(PAYFACT*TG4)-ADDALLOW-SDED)</f>
        <v>38615.8</v>
      </c>
    </row>
    <row r="101" spans="9:10" ht="15.75">
      <c r="I101" s="2" t="s">
        <v>167</v>
      </c>
      <c r="J101" s="3">
        <f>IF((PAYFACT*TG5)-ADDALLOW-SDED&lt;=0,0,(PAYFACT*TG5)-ADDALLOW-SDED)</f>
        <v>37415.8</v>
      </c>
    </row>
    <row r="102" spans="9:11" ht="15.75">
      <c r="I102" s="2" t="s">
        <v>168</v>
      </c>
      <c r="J102" s="3">
        <f>IF((PAYFACT*TG6)-ADDALLOW-SDED&lt;=0,0,(PAYFACT*TG6)-ADDALLOW-SDED)</f>
        <v>34715.8</v>
      </c>
      <c r="K102" s="3"/>
    </row>
    <row r="103" ht="15.75">
      <c r="K103" s="3"/>
    </row>
    <row r="104" spans="9:11" ht="15.75">
      <c r="I104" s="2" t="s">
        <v>169</v>
      </c>
      <c r="K104" s="3"/>
    </row>
    <row r="105" spans="9:11" ht="15.75">
      <c r="I105" s="2" t="s">
        <v>170</v>
      </c>
      <c r="J105" s="3">
        <f>IF(STM="S",VLOOKUP(STG1,STXTBLS,1),IF(STM="M",VLOOKUP(STG1,STXTBLM,1),IF(STM="H",VLOOKUP(STG1,STXTBLUH,1),0)))</f>
        <v>33988</v>
      </c>
      <c r="K105" s="3"/>
    </row>
    <row r="106" spans="9:11" ht="15.75">
      <c r="I106" s="2" t="s">
        <v>171</v>
      </c>
      <c r="J106" s="3">
        <f>IF(STM="S",VLOOKUP(J98,STXTBLS,1),IF(STM="M",VLOOKUP(J98,STXTBLM,1),IF(STM="H",VLOOKUP(J98,STXTBLUH,1),0)))</f>
        <v>33988</v>
      </c>
      <c r="K106" s="3"/>
    </row>
    <row r="107" spans="9:11" ht="15.75">
      <c r="I107" s="2" t="s">
        <v>172</v>
      </c>
      <c r="J107" s="3">
        <f>IF(STM="S",VLOOKUP(J99,STXTBLS,1),IF(STM="M",VLOOKUP(J99,STXTBLM,1),IF(STM="H",VLOOKUP(J99,STXTBLUH,1),0)))</f>
        <v>33988</v>
      </c>
      <c r="K107" s="3"/>
    </row>
    <row r="108" spans="9:10" ht="15.75">
      <c r="I108" s="2" t="s">
        <v>173</v>
      </c>
      <c r="J108" s="3">
        <f>IF(STM="S",VLOOKUP(J100,STXTBLS,1),IF(STM="M",VLOOKUP(J100,STXTBLM,1),IF(STM="H",VLOOKUP(J100,STXTBLUH,1),0)))</f>
        <v>33988</v>
      </c>
    </row>
    <row r="109" spans="9:10" ht="15.75">
      <c r="I109" s="2" t="s">
        <v>174</v>
      </c>
      <c r="J109" s="3">
        <f>IF(STM="S",VLOOKUP(J101,STXTBLS,1),IF(STM="M",VLOOKUP(J101,STXTBLM,1),IF(STM="H",VLOOKUP(J101,STXTBLUH,1),0)))</f>
        <v>33988</v>
      </c>
    </row>
    <row r="110" spans="9:10" ht="15.75">
      <c r="I110" s="2" t="s">
        <v>175</v>
      </c>
      <c r="J110" s="3">
        <f>IF(STM="S",VLOOKUP(J102,STXTBLS,1),IF(STM="M",VLOOKUP(J102,STXTBLM,1),IF(STM="H",VLOOKUP(J102,STXTBLUH,1),0)))</f>
        <v>33988</v>
      </c>
    </row>
    <row r="112" spans="9:11" ht="15.75">
      <c r="I112" s="2" t="s">
        <v>176</v>
      </c>
      <c r="K112" s="3"/>
    </row>
    <row r="113" spans="9:11" ht="15.75">
      <c r="I113" s="2" t="s">
        <v>177</v>
      </c>
      <c r="J113" s="3">
        <f>IF(STM="S",VLOOKUP(STG1,STXTBLS,2),IF(STM="M",VLOOKUP(STG1,STXTBLM,2),IF(STM="H",VLOOKUP(STG1,STXTBLUH,2),0)))</f>
        <v>0.0425</v>
      </c>
      <c r="K113" s="3"/>
    </row>
    <row r="114" spans="9:11" ht="15.75">
      <c r="I114" s="2" t="s">
        <v>178</v>
      </c>
      <c r="J114" s="3">
        <f>IF(STM="S",VLOOKUP(J98,STXTBLS,2),IF(STM="M",VLOOKUP(J98,STXTBLM,2),IF(STM="H",VLOOKUP(J98,STXTBLUH,2),0)))</f>
        <v>0.0425</v>
      </c>
      <c r="K114" s="3"/>
    </row>
    <row r="115" spans="9:11" ht="15.75">
      <c r="I115" s="2" t="s">
        <v>179</v>
      </c>
      <c r="J115" s="3">
        <f>IF(STM="S",VLOOKUP(J99,STXTBLS,2),IF(STM="M",VLOOKUP(J99,STXTBLM,2),IF(STM="H",VLOOKUP(J99,STXTBLUH,2),0)))</f>
        <v>0.0425</v>
      </c>
      <c r="K115" s="3"/>
    </row>
    <row r="116" spans="9:11" ht="15.75">
      <c r="I116" s="2" t="s">
        <v>180</v>
      </c>
      <c r="J116" s="3">
        <f>IF(STM="S",VLOOKUP(J100,STXTBLS,2),IF(STM="M",VLOOKUP(J100,STXTBLM,2),IF(STM="H",VLOOKUP(J100,STXTBLUH,2),0)))</f>
        <v>0.0425</v>
      </c>
      <c r="K116" s="3"/>
    </row>
    <row r="117" spans="9:11" ht="15.75">
      <c r="I117" s="2" t="s">
        <v>181</v>
      </c>
      <c r="J117" s="3">
        <f>IF(STM="S",VLOOKUP(J101,STXTBLS,2),IF(STM="M",VLOOKUP(J101,STXTBLM,2),IF(STM="H",VLOOKUP(J101,STXTBLUH,2),0)))</f>
        <v>0.0425</v>
      </c>
      <c r="K117" s="3"/>
    </row>
    <row r="118" spans="9:11" ht="15.75">
      <c r="I118" s="2" t="s">
        <v>182</v>
      </c>
      <c r="J118" s="3">
        <f>IF(STM="S",VLOOKUP(J102,STXTBLS,2),IF(STM="M",VLOOKUP(J102,STXTBLM,2),IF(STM="H",VLOOKUP(J102,STXTBLUH,2),0)))</f>
        <v>0.0425</v>
      </c>
      <c r="K118" s="3"/>
    </row>
    <row r="120" spans="9:11" ht="15.75">
      <c r="I120" s="2" t="s">
        <v>183</v>
      </c>
      <c r="K120" s="3"/>
    </row>
    <row r="121" spans="9:11" ht="15.75">
      <c r="I121" s="2" t="s">
        <v>184</v>
      </c>
      <c r="J121" s="3">
        <f>IF(STM="S",VLOOKUP(STG1,STXTBLS,3),IF(STM="M",VLOOKUP(STG1,STXTBLM,3),IF(STM="H",VLOOKUP(STG1,STXTBLUH,3),0)))</f>
        <v>621.37</v>
      </c>
      <c r="K121" s="3"/>
    </row>
    <row r="122" spans="9:11" ht="15.75">
      <c r="I122" s="2" t="s">
        <v>185</v>
      </c>
      <c r="J122" s="3">
        <f>IF(STM="S",VLOOKUP(J98,STXTBLS,3),IF(STM="M",VLOOKUP(J98,STXTBLM,3),IF(STM="H",VLOOKUP(J98,STXTBLUH,3),0)))</f>
        <v>621.37</v>
      </c>
      <c r="K122" s="3"/>
    </row>
    <row r="123" spans="9:11" ht="15.75">
      <c r="I123" s="2" t="s">
        <v>186</v>
      </c>
      <c r="J123" s="3">
        <f>IF(STM="S",VLOOKUP(J99,STXTBLS,3),IF(STM="M",VLOOKUP(J99,STXTBLM,3),IF(STM="H",VLOOKUP(J99,STXTBLUH,3),0)))</f>
        <v>621.37</v>
      </c>
      <c r="K123" s="3"/>
    </row>
    <row r="124" spans="9:11" ht="15.75">
      <c r="I124" s="2" t="s">
        <v>187</v>
      </c>
      <c r="J124" s="3">
        <f>IF(STM="S",VLOOKUP(J100,STXTBLS,3),IF(STM="M",VLOOKUP(J100,STXTBLM,3),IF(STM="H",VLOOKUP(J100,STXTBLUH,3),0)))</f>
        <v>621.37</v>
      </c>
      <c r="K124" s="3"/>
    </row>
    <row r="125" spans="9:11" ht="15.75">
      <c r="I125" s="2" t="s">
        <v>188</v>
      </c>
      <c r="J125" s="3">
        <f>IF(STM="S",VLOOKUP(J101,STXTBLS,3),IF(STM="M",VLOOKUP(J101,STXTBLM,3),IF(STM="H",VLOOKUP(J101,STXTBLUH,3),0)))</f>
        <v>621.37</v>
      </c>
      <c r="K125" s="3"/>
    </row>
    <row r="126" spans="9:10" ht="15.75">
      <c r="I126" s="2" t="s">
        <v>189</v>
      </c>
      <c r="J126" s="3">
        <f>IF(STM="S",VLOOKUP(J102,STXTBLS,3),IF(STM="M",VLOOKUP(J102,STXTBLM,3),IF(STM="H",VLOOKUP(J102,STXTBLUH,3),0)))</f>
        <v>621.37</v>
      </c>
    </row>
    <row r="128" spans="9:11" ht="15.75">
      <c r="I128" s="2" t="s">
        <v>190</v>
      </c>
      <c r="K128" s="3"/>
    </row>
    <row r="129" spans="9:11" ht="15.75">
      <c r="I129" s="2" t="s">
        <v>191</v>
      </c>
      <c r="J129" s="3">
        <f>(STG1-SBSA1)</f>
        <v>8227.800000000003</v>
      </c>
      <c r="K129" s="3"/>
    </row>
    <row r="130" spans="9:11" ht="15.75">
      <c r="I130" s="2" t="s">
        <v>192</v>
      </c>
      <c r="J130" s="3">
        <f>(J98-J106)</f>
        <v>7027.800000000003</v>
      </c>
      <c r="K130" s="3"/>
    </row>
    <row r="131" spans="9:11" ht="15.75">
      <c r="I131" s="2" t="s">
        <v>193</v>
      </c>
      <c r="J131" s="3">
        <f>(J99-J107)</f>
        <v>5827.800000000003</v>
      </c>
      <c r="K131" s="3"/>
    </row>
    <row r="132" spans="9:11" ht="15.75">
      <c r="I132" s="2" t="s">
        <v>194</v>
      </c>
      <c r="J132" s="3">
        <f>(J100-J108)</f>
        <v>4627.800000000003</v>
      </c>
      <c r="K132" s="3"/>
    </row>
    <row r="133" spans="9:11" ht="15.75">
      <c r="I133" s="2" t="s">
        <v>195</v>
      </c>
      <c r="J133" s="3">
        <f>(J101-J109)</f>
        <v>3427.800000000003</v>
      </c>
      <c r="K133" s="3"/>
    </row>
    <row r="134" spans="9:10" ht="15.75">
      <c r="I134" s="2" t="s">
        <v>196</v>
      </c>
      <c r="J134" s="3">
        <f>(J102-J110)</f>
        <v>727.8000000000029</v>
      </c>
    </row>
    <row r="136" spans="9:11" ht="15.75">
      <c r="I136" s="2" t="s">
        <v>197</v>
      </c>
      <c r="K136" s="3"/>
    </row>
    <row r="137" spans="9:11" ht="15.75">
      <c r="I137" s="2" t="s">
        <v>198</v>
      </c>
      <c r="J137" s="3">
        <f>(SBST1+ROUND(SOVR1*SMTR1,5))</f>
        <v>971.0515</v>
      </c>
      <c r="K137" s="3"/>
    </row>
    <row r="138" spans="9:11" ht="15.75">
      <c r="I138" s="2" t="s">
        <v>199</v>
      </c>
      <c r="J138" s="3">
        <f>(J122+ROUND(J130*SMTR2,5))</f>
        <v>920.0515</v>
      </c>
      <c r="K138" s="3"/>
    </row>
    <row r="139" spans="9:11" ht="15.75">
      <c r="I139" s="2" t="s">
        <v>200</v>
      </c>
      <c r="J139" s="3">
        <f>(J123+ROUND(J131*SMTR3,5))</f>
        <v>869.0515</v>
      </c>
      <c r="K139" s="3"/>
    </row>
    <row r="140" spans="9:11" ht="15.75">
      <c r="I140" s="2" t="s">
        <v>201</v>
      </c>
      <c r="J140" s="3">
        <f>(J124+ROUND(J132*SMTR4,5))</f>
        <v>818.0515</v>
      </c>
      <c r="K140" s="3"/>
    </row>
    <row r="141" spans="9:11" ht="15.75">
      <c r="I141" s="2" t="s">
        <v>202</v>
      </c>
      <c r="J141" s="3">
        <f>(J125+ROUND(J133*SMTR5,5))</f>
        <v>767.0515</v>
      </c>
      <c r="K141" s="3"/>
    </row>
    <row r="142" spans="9:10" ht="15.75">
      <c r="I142" s="2" t="s">
        <v>203</v>
      </c>
      <c r="J142" s="3">
        <f>(J126+ROUND(J134*SMTR6,5))</f>
        <v>652.3015</v>
      </c>
    </row>
    <row r="144" spans="9:11" ht="15.75">
      <c r="I144" s="2" t="s">
        <v>204</v>
      </c>
      <c r="K144" s="3"/>
    </row>
    <row r="145" spans="9:11" ht="15.75">
      <c r="I145" s="2" t="s">
        <v>205</v>
      </c>
      <c r="J145" s="3">
        <f>IF(OR(TG1*PAYFACT&lt;=LIE,(STA1-TXCREDIT)/PAYFACT&lt;=0),0,IF(STA1-TXCREDIT/PAYFACT&gt;0,ROUND((STA1-TXCREDIT)/PAYFACT,2)))</f>
        <v>80.92</v>
      </c>
      <c r="K145" s="3"/>
    </row>
    <row r="146" spans="9:11" ht="15.75">
      <c r="I146" s="2" t="s">
        <v>206</v>
      </c>
      <c r="J146" s="3">
        <f>IF(OR(TG2*PAYFACT&lt;=LIE,(J138-TXCREDIT)/PAYFACT&lt;=0),0,IF(J138-TXCREDIT/PAYFACT&gt;0,ROUND((J138-TXCREDIT)/PAYFACT,2)))</f>
        <v>76.67</v>
      </c>
      <c r="K146" s="3"/>
    </row>
    <row r="147" spans="9:11" ht="15.75">
      <c r="I147" s="2" t="s">
        <v>207</v>
      </c>
      <c r="J147" s="3">
        <f>IF(OR(TG3*PAYFACT&lt;=LIE,(J139-TXCREDIT)/PAYFACT&lt;=0),0,IF(J139-TXCREDIT/PAYFACT&gt;0,ROUND((J139-TXCREDIT)/PAYFACT,2)))</f>
        <v>72.42</v>
      </c>
      <c r="K147" s="3"/>
    </row>
    <row r="148" spans="9:11" ht="15.75">
      <c r="I148" s="2" t="s">
        <v>208</v>
      </c>
      <c r="J148" s="3">
        <f>IF(OR(TG4*PAYFACT&lt;=LIE,(J140-TXCREDIT)/PAYFACT&lt;=0),0,IF(J140-TXCREDIT/PAYFACT&gt;0,ROUND((J140-TXCREDIT)/PAYFACT,2)))</f>
        <v>68.17</v>
      </c>
      <c r="K148" s="3"/>
    </row>
    <row r="149" spans="9:11" ht="15.75">
      <c r="I149" s="2" t="s">
        <v>209</v>
      </c>
      <c r="J149" s="3">
        <f>IF(OR(TG5*PAYFACT&lt;=LIE,(J141-TXCREDIT)/PAYFACT&lt;=0),0,IF(J141-TXCREDIT/PAYFACT&gt;0,ROUND((J141-TXCREDIT)/PAYFACT,2)))</f>
        <v>63.92</v>
      </c>
      <c r="K149" s="3"/>
    </row>
    <row r="150" spans="9:10" ht="15.75">
      <c r="I150" s="2" t="s">
        <v>210</v>
      </c>
      <c r="J150" s="3">
        <f>IF(OR(TG6*PAYFACT&lt;=LIE,(J142-TXCREDIT)/PAYFACT&lt;=0),0,IF(J142-TXCREDIT/PAYFACT&gt;0,ROUND((J142-TXCREDIT)/PAYFACT,2)))</f>
        <v>54.36</v>
      </c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Monthly Version</dc:title>
  <dc:subject>Paycheck Calculator - Monthly Version</dc:subject>
  <dc:creator>State Controller's Office/PPSD - Barry Sasabuchi</dc:creator>
  <cp:keywords>Paycheck Calculator - 06 Tax Rate - Monthly Version</cp:keywords>
  <dc:description>Revised 8/22/06</dc:description>
  <cp:lastModifiedBy>acontrer</cp:lastModifiedBy>
  <cp:lastPrinted>2008-12-02T21:12:25Z</cp:lastPrinted>
  <dcterms:created xsi:type="dcterms:W3CDTF">2001-09-13T14:13:59Z</dcterms:created>
  <dcterms:modified xsi:type="dcterms:W3CDTF">2009-05-26T15:55:38Z</dcterms:modified>
  <cp:category>Paycheck Calculator - 06 Tax Rate - Monthly Version</cp:category>
  <cp:version/>
  <cp:contentType/>
  <cp:contentStatus/>
</cp:coreProperties>
</file>