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845" windowHeight="13845" activeTab="0"/>
  </bookViews>
  <sheets>
    <sheet name="Tax Calculator" sheetId="1" r:id="rId1"/>
  </sheets>
  <definedNames/>
  <calcPr fullCalcOnLoad="1"/>
</workbook>
</file>

<file path=xl/sharedStrings.xml><?xml version="1.0" encoding="utf-8"?>
<sst xmlns="http://schemas.openxmlformats.org/spreadsheetml/2006/main" count="143" uniqueCount="54">
  <si>
    <t>Salary Sacrifice</t>
  </si>
  <si>
    <t>TAXABLE INCOME:</t>
  </si>
  <si>
    <t>You can also look at different options for Salary Sacrifice to Super</t>
  </si>
  <si>
    <t>Not sure if LITO ignores reductions in income due to Salary Sacrifice…..</t>
  </si>
  <si>
    <t>Individual Tax Calculator</t>
  </si>
  <si>
    <t>LITO is the Low Income Tax Offset, reduces by $0.04 for every dollar above income limit.</t>
  </si>
  <si>
    <t>2007-2008</t>
  </si>
  <si>
    <t>2008-2009</t>
  </si>
  <si>
    <t>2009-2010</t>
  </si>
  <si>
    <t>2010-2011</t>
  </si>
  <si>
    <t>Tax Boundary</t>
  </si>
  <si>
    <t>Tax Due</t>
  </si>
  <si>
    <t>Excess %</t>
  </si>
  <si>
    <t>Effective Tax Free</t>
  </si>
  <si>
    <t>LITO</t>
  </si>
  <si>
    <t>Limit</t>
  </si>
  <si>
    <t>ANNUAL INCOME:</t>
  </si>
  <si>
    <t>Super Co-contribution</t>
  </si>
  <si>
    <t>low limit</t>
  </si>
  <si>
    <t>high limit</t>
  </si>
  <si>
    <t>Max</t>
  </si>
  <si>
    <t>Personal Contribution</t>
  </si>
  <si>
    <t>Govt. Co-contribution</t>
  </si>
  <si>
    <t xml:space="preserve">Tax Bound : </t>
  </si>
  <si>
    <t xml:space="preserve">Tax Due on Bound : </t>
  </si>
  <si>
    <t xml:space="preserve">% Due on Excess : </t>
  </si>
  <si>
    <t xml:space="preserve">TAX DUE : </t>
  </si>
  <si>
    <t xml:space="preserve">TAX OFFSET : </t>
  </si>
  <si>
    <t>NET INCOME:</t>
  </si>
  <si>
    <t>per annum</t>
  </si>
  <si>
    <t>per week</t>
  </si>
  <si>
    <t>Increase</t>
  </si>
  <si>
    <t>Total</t>
  </si>
  <si>
    <t>http://www.budget.gov.au/2008-09/content/overview2/html/overview_01.htm</t>
  </si>
  <si>
    <t>3 year total</t>
  </si>
  <si>
    <t>Tax Rate</t>
  </si>
  <si>
    <t>Note:</t>
  </si>
  <si>
    <t>Super Co-contribution maximums and income limits unknown for 2008-2009 and later, nothing announced in 2008 budget.</t>
  </si>
  <si>
    <t>Includes Low Income Tax Offset and Super co-contributions, and Medicare Levy</t>
  </si>
  <si>
    <t>Net Income reduced by 1.5% for Medicare levy on assesable income.</t>
  </si>
  <si>
    <t>E.g. on $50,000 gross income, a personal contribution of $299.93 attracts a Govt. co-contribution of $449.00</t>
  </si>
  <si>
    <t>LITO means if you earn only $11,000 in 2006-2007 you pay no tax.</t>
  </si>
  <si>
    <t>Super Rate</t>
  </si>
  <si>
    <t>Super Tax</t>
  </si>
  <si>
    <t>There is no Super Contribution Tax on personal or Govt. co-contributions.</t>
  </si>
  <si>
    <t>Effective Tax Rate includes the 1.5% Medicare Levy, but not the 15% Super Contribution Tax, assuming your Super is an additional 9% of your gross.</t>
  </si>
  <si>
    <t>Australian 2007-2008 thru 2001-2011 Tax Rates based on 2008 budget.</t>
  </si>
  <si>
    <t>Income(including Interest)</t>
  </si>
  <si>
    <t>Total deductions</t>
  </si>
  <si>
    <t>Assessable income</t>
  </si>
  <si>
    <t>PAYG Tax Paid</t>
  </si>
  <si>
    <t xml:space="preserve">PLUS MEDICARE : </t>
  </si>
  <si>
    <t>TAX OWED/REFUND:</t>
  </si>
  <si>
    <t>Entering Income, Deductions, and PAYG Tax Paid should give a reasonable estimate of your refund or tax owed.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</si>
</sst>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/d"/>
    <numFmt numFmtId="177" formatCode="hh:mm"/>
    <numFmt numFmtId="178" formatCode="[$-C09]dddd\,\ d\ mmmm\ yyyy"/>
    <numFmt numFmtId="179" formatCode="[h]:mm"/>
    <numFmt numFmtId="180" formatCode="[hh]:mm"/>
    <numFmt numFmtId="181" formatCode="[$€-2]\ #,##0.00_);[Red]\([$€-2]\ #,##0.00\)"/>
    <numFmt numFmtId="182" formatCode="[$-409]h:mm:ss\ AM/PM"/>
    <numFmt numFmtId="183" formatCode="&quot;$&quot;#,##0.00"/>
    <numFmt numFmtId="184" formatCode="#,##0.00_ ;[Red]\-#,##0.00\ "/>
    <numFmt numFmtId="185" formatCode="&quot;$&quot;#,##0"/>
    <numFmt numFmtId="186" formatCode="&quot;$&quot;#,##0.000;[Red]\-&quot;$&quot;#,##0.000"/>
    <numFmt numFmtId="187" formatCode="&quot;$&quot;#,##0.0;[Red]\-&quot;$&quot;#,##0.0"/>
    <numFmt numFmtId="188" formatCode="&quot;$&quot;#,##0.0000;[Red]\-&quot;$&quot;#,##0.0000"/>
    <numFmt numFmtId="189" formatCode="&quot;$&quot;#,##0.000"/>
    <numFmt numFmtId="190" formatCode="&quot;$&quot;#,##0.0000"/>
    <numFmt numFmtId="191" formatCode="General_);General_);0_);@_)"/>
    <numFmt numFmtId="192" formatCode="0.0%"/>
    <numFmt numFmtId="193" formatCode="#,##0.0"/>
    <numFmt numFmtId="194" formatCode="&quot;$&quot;#,##0.0"/>
    <numFmt numFmtId="195" formatCode="dd/mm/yyyy;@"/>
    <numFmt numFmtId="196" formatCode="#,##0.000"/>
    <numFmt numFmtId="197" formatCode="#,##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3"/>
        <bgColor indexed="13"/>
      </patternFill>
    </fill>
    <fill>
      <patternFill patternType="gray0625">
        <fgColor indexed="22"/>
        <bgColor indexed="22"/>
      </patternFill>
    </fill>
    <fill>
      <patternFill patternType="gray0625">
        <fgColor indexed="11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2" borderId="0">
      <alignment horizontal="right"/>
      <protection locked="0"/>
    </xf>
    <xf numFmtId="165" fontId="3" fillId="3" borderId="0">
      <alignment horizontal="right"/>
      <protection/>
    </xf>
    <xf numFmtId="9" fontId="0" fillId="0" borderId="0" applyFont="0" applyFill="0" applyBorder="0" applyAlignment="0" applyProtection="0"/>
    <xf numFmtId="165" fontId="4" fillId="4" borderId="0">
      <alignment/>
      <protection/>
    </xf>
    <xf numFmtId="191" fontId="3" fillId="5" borderId="0">
      <alignment horizontal="right"/>
      <protection/>
    </xf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/>
    </xf>
    <xf numFmtId="191" fontId="7" fillId="0" borderId="2" xfId="25" applyFont="1" applyFill="1" applyBorder="1">
      <alignment horizontal="right"/>
      <protection/>
    </xf>
    <xf numFmtId="191" fontId="7" fillId="0" borderId="3" xfId="25" applyFont="1" applyFill="1" applyBorder="1">
      <alignment horizontal="right"/>
      <protection/>
    </xf>
    <xf numFmtId="165" fontId="7" fillId="0" borderId="4" xfId="21" applyFont="1" applyFill="1" applyBorder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1" fontId="8" fillId="0" borderId="0" xfId="25" applyFont="1" applyFill="1" applyBorder="1">
      <alignment horizontal="right"/>
      <protection/>
    </xf>
    <xf numFmtId="165" fontId="7" fillId="0" borderId="0" xfId="22" applyFont="1" applyFill="1" applyBorder="1">
      <alignment horizontal="right"/>
      <protection/>
    </xf>
    <xf numFmtId="0" fontId="0" fillId="0" borderId="0" xfId="0" applyBorder="1" applyAlignment="1">
      <alignment/>
    </xf>
    <xf numFmtId="0" fontId="2" fillId="0" borderId="0" xfId="20" applyAlignment="1">
      <alignment/>
    </xf>
    <xf numFmtId="0" fontId="6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165" fontId="6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8" fontId="6" fillId="6" borderId="0" xfId="0" applyNumberFormat="1" applyFont="1" applyFill="1" applyAlignment="1">
      <alignment/>
    </xf>
    <xf numFmtId="8" fontId="6" fillId="6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8" fontId="6" fillId="6" borderId="0" xfId="0" applyNumberFormat="1" applyFont="1" applyFill="1" applyAlignment="1">
      <alignment horizontal="right"/>
    </xf>
    <xf numFmtId="8" fontId="0" fillId="6" borderId="0" xfId="0" applyNumberFormat="1" applyFill="1" applyAlignment="1">
      <alignment/>
    </xf>
    <xf numFmtId="191" fontId="8" fillId="7" borderId="7" xfId="25" applyFont="1" applyFill="1" applyBorder="1">
      <alignment horizontal="right"/>
      <protection/>
    </xf>
    <xf numFmtId="165" fontId="8" fillId="7" borderId="8" xfId="22" applyFont="1" applyFill="1" applyBorder="1">
      <alignment horizontal="right"/>
      <protection/>
    </xf>
    <xf numFmtId="191" fontId="8" fillId="7" borderId="9" xfId="25" applyFont="1" applyFill="1" applyBorder="1">
      <alignment horizontal="right"/>
      <protection/>
    </xf>
    <xf numFmtId="165" fontId="8" fillId="7" borderId="10" xfId="22" applyFont="1" applyFill="1" applyBorder="1">
      <alignment horizontal="right"/>
      <protection/>
    </xf>
    <xf numFmtId="191" fontId="8" fillId="7" borderId="11" xfId="25" applyFont="1" applyFill="1" applyBorder="1">
      <alignment horizontal="right"/>
      <protection/>
    </xf>
    <xf numFmtId="192" fontId="8" fillId="7" borderId="12" xfId="22" applyNumberFormat="1" applyFont="1" applyFill="1" applyBorder="1">
      <alignment horizontal="right"/>
      <protection/>
    </xf>
    <xf numFmtId="191" fontId="8" fillId="7" borderId="2" xfId="25" applyFont="1" applyFill="1" applyBorder="1">
      <alignment horizontal="right"/>
      <protection/>
    </xf>
    <xf numFmtId="185" fontId="8" fillId="7" borderId="13" xfId="0" applyNumberFormat="1" applyFont="1" applyFill="1" applyBorder="1" applyAlignment="1">
      <alignment/>
    </xf>
    <xf numFmtId="165" fontId="8" fillId="7" borderId="4" xfId="22" applyFont="1" applyFill="1" applyBorder="1">
      <alignment horizontal="right"/>
      <protection/>
    </xf>
    <xf numFmtId="165" fontId="7" fillId="7" borderId="4" xfId="22" applyFont="1" applyFill="1" applyBorder="1">
      <alignment horizontal="right"/>
      <protection/>
    </xf>
    <xf numFmtId="0" fontId="0" fillId="7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1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center"/>
    </xf>
    <xf numFmtId="0" fontId="6" fillId="8" borderId="14" xfId="0" applyFont="1" applyFill="1" applyBorder="1" applyAlignment="1">
      <alignment/>
    </xf>
    <xf numFmtId="0" fontId="6" fillId="8" borderId="0" xfId="0" applyFont="1" applyFill="1" applyAlignment="1">
      <alignment horizontal="right"/>
    </xf>
    <xf numFmtId="6" fontId="8" fillId="8" borderId="0" xfId="0" applyNumberFormat="1" applyFont="1" applyFill="1" applyBorder="1" applyAlignment="1">
      <alignment horizontal="right"/>
    </xf>
    <xf numFmtId="6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8" fillId="8" borderId="0" xfId="0" applyFont="1" applyFill="1" applyBorder="1" applyAlignment="1">
      <alignment horizontal="right"/>
    </xf>
    <xf numFmtId="183" fontId="7" fillId="8" borderId="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/>
    </xf>
    <xf numFmtId="191" fontId="7" fillId="9" borderId="1" xfId="25" applyFont="1" applyFill="1" applyBorder="1">
      <alignment horizontal="right"/>
      <protection/>
    </xf>
    <xf numFmtId="165" fontId="8" fillId="9" borderId="15" xfId="24" applyFont="1" applyFill="1" applyBorder="1">
      <alignment/>
      <protection/>
    </xf>
    <xf numFmtId="165" fontId="8" fillId="9" borderId="0" xfId="24" applyFont="1" applyFill="1" applyBorder="1">
      <alignment/>
      <protection/>
    </xf>
    <xf numFmtId="192" fontId="8" fillId="9" borderId="16" xfId="24" applyNumberFormat="1" applyFont="1" applyFill="1" applyBorder="1">
      <alignment/>
      <protection/>
    </xf>
    <xf numFmtId="165" fontId="8" fillId="9" borderId="17" xfId="24" applyFont="1" applyFill="1" applyBorder="1">
      <alignment/>
      <protection/>
    </xf>
    <xf numFmtId="165" fontId="8" fillId="9" borderId="18" xfId="24" applyFont="1" applyFill="1" applyBorder="1">
      <alignment/>
      <protection/>
    </xf>
    <xf numFmtId="192" fontId="8" fillId="9" borderId="19" xfId="24" applyNumberFormat="1" applyFont="1" applyFill="1" applyBorder="1">
      <alignment/>
      <protection/>
    </xf>
    <xf numFmtId="185" fontId="6" fillId="9" borderId="0" xfId="25" applyNumberFormat="1" applyFont="1" applyFill="1" applyBorder="1" applyAlignment="1">
      <alignment horizontal="center"/>
      <protection/>
    </xf>
    <xf numFmtId="185" fontId="0" fillId="9" borderId="0" xfId="25" applyNumberFormat="1" applyFont="1" applyFill="1" applyBorder="1">
      <alignment horizontal="right"/>
      <protection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center"/>
    </xf>
    <xf numFmtId="6" fontId="6" fillId="10" borderId="0" xfId="0" applyNumberFormat="1" applyFont="1" applyFill="1" applyAlignment="1">
      <alignment/>
    </xf>
    <xf numFmtId="0" fontId="6" fillId="10" borderId="0" xfId="0" applyFont="1" applyFill="1" applyAlignment="1">
      <alignment/>
    </xf>
    <xf numFmtId="0" fontId="0" fillId="10" borderId="0" xfId="0" applyFill="1" applyAlignment="1">
      <alignment/>
    </xf>
    <xf numFmtId="6" fontId="6" fillId="10" borderId="4" xfId="0" applyNumberFormat="1" applyFont="1" applyFill="1" applyBorder="1" applyAlignment="1">
      <alignment/>
    </xf>
    <xf numFmtId="6" fontId="6" fillId="10" borderId="2" xfId="0" applyNumberFormat="1" applyFont="1" applyFill="1" applyBorder="1" applyAlignment="1">
      <alignment horizontal="right"/>
    </xf>
    <xf numFmtId="0" fontId="6" fillId="1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20" applyFill="1" applyAlignment="1">
      <alignment/>
    </xf>
    <xf numFmtId="185" fontId="8" fillId="7" borderId="1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put Data" xfId="21"/>
    <cellStyle name="Input Formulas" xfId="22"/>
    <cellStyle name="Percent" xfId="23"/>
    <cellStyle name="Table" xfId="24"/>
    <cellStyle name="Tex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get.gov.au/2008-09/content/overview2/html/overview_01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421875" style="0" customWidth="1"/>
    <col min="2" max="4" width="8.8515625" style="0" customWidth="1"/>
    <col min="5" max="5" width="12.28125" style="0" customWidth="1"/>
    <col min="6" max="8" width="8.8515625" style="0" customWidth="1"/>
    <col min="9" max="9" width="13.28125" style="0" customWidth="1"/>
    <col min="10" max="12" width="8.8515625" style="0" customWidth="1"/>
    <col min="13" max="13" width="12.421875" style="0" customWidth="1"/>
    <col min="14" max="16384" width="8.8515625" style="0" customWidth="1"/>
  </cols>
  <sheetData>
    <row r="1" spans="1:10" ht="12.75">
      <c r="A1" s="1" t="s">
        <v>4</v>
      </c>
      <c r="B1" s="1"/>
      <c r="C1" s="1"/>
      <c r="E1" t="s">
        <v>46</v>
      </c>
      <c r="J1" s="14" t="s">
        <v>33</v>
      </c>
    </row>
    <row r="2" spans="1:10" ht="12.75">
      <c r="A2" s="64">
        <v>40000</v>
      </c>
      <c r="B2" s="65" t="s">
        <v>47</v>
      </c>
      <c r="C2" s="65"/>
      <c r="D2" s="66"/>
      <c r="E2" t="s">
        <v>38</v>
      </c>
      <c r="J2" s="14"/>
    </row>
    <row r="3" spans="1:10" ht="13.5" thickBot="1">
      <c r="A3" s="64">
        <v>300</v>
      </c>
      <c r="B3" s="65" t="s">
        <v>48</v>
      </c>
      <c r="C3" s="65"/>
      <c r="D3" s="66"/>
      <c r="E3" t="s">
        <v>2</v>
      </c>
      <c r="J3" s="14"/>
    </row>
    <row r="4" spans="1:5" ht="13.5" thickBot="1">
      <c r="A4" s="67">
        <f>A2-A3</f>
        <v>39700</v>
      </c>
      <c r="B4" s="65" t="s">
        <v>49</v>
      </c>
      <c r="C4" s="66"/>
      <c r="D4" s="66"/>
      <c r="E4" t="s">
        <v>53</v>
      </c>
    </row>
    <row r="5" spans="1:4" ht="13.5" thickBot="1">
      <c r="A5" s="68">
        <v>9000</v>
      </c>
      <c r="B5" s="69" t="s">
        <v>50</v>
      </c>
      <c r="C5" s="66"/>
      <c r="D5" s="66"/>
    </row>
    <row r="6" spans="1:4" ht="12.75">
      <c r="A6" s="70"/>
      <c r="B6" s="70"/>
      <c r="C6" s="70"/>
      <c r="D6" s="71"/>
    </row>
    <row r="7" spans="2:14" ht="13.5" thickBot="1">
      <c r="B7" s="1" t="s">
        <v>6</v>
      </c>
      <c r="F7" s="1" t="s">
        <v>7</v>
      </c>
      <c r="J7" s="1" t="s">
        <v>8</v>
      </c>
      <c r="N7" s="1" t="s">
        <v>9</v>
      </c>
    </row>
    <row r="8" spans="2:16" ht="12.75">
      <c r="B8" s="47" t="s">
        <v>10</v>
      </c>
      <c r="C8" s="47" t="s">
        <v>11</v>
      </c>
      <c r="D8" s="47" t="s">
        <v>12</v>
      </c>
      <c r="F8" s="47" t="s">
        <v>10</v>
      </c>
      <c r="G8" s="47" t="s">
        <v>11</v>
      </c>
      <c r="H8" s="47" t="s">
        <v>12</v>
      </c>
      <c r="J8" s="47" t="s">
        <v>10</v>
      </c>
      <c r="K8" s="47" t="s">
        <v>11</v>
      </c>
      <c r="L8" s="47" t="s">
        <v>12</v>
      </c>
      <c r="N8" s="47" t="s">
        <v>10</v>
      </c>
      <c r="O8" s="47" t="s">
        <v>11</v>
      </c>
      <c r="P8" s="47" t="s">
        <v>12</v>
      </c>
    </row>
    <row r="9" spans="2:16" ht="12.75">
      <c r="B9" s="48">
        <v>6000</v>
      </c>
      <c r="C9" s="49">
        <v>0</v>
      </c>
      <c r="D9" s="50">
        <v>0.15</v>
      </c>
      <c r="F9" s="48">
        <v>6000</v>
      </c>
      <c r="G9" s="49">
        <v>0</v>
      </c>
      <c r="H9" s="50">
        <v>0.15</v>
      </c>
      <c r="J9" s="48">
        <v>6000</v>
      </c>
      <c r="K9" s="49">
        <v>0</v>
      </c>
      <c r="L9" s="50">
        <v>0.15</v>
      </c>
      <c r="N9" s="48">
        <v>6000</v>
      </c>
      <c r="O9" s="49">
        <v>0</v>
      </c>
      <c r="P9" s="50">
        <v>0.15</v>
      </c>
    </row>
    <row r="10" spans="2:16" ht="12.75">
      <c r="B10" s="48">
        <v>30001</v>
      </c>
      <c r="C10" s="49">
        <f>C9+D9*(B10-B9)</f>
        <v>3600.15</v>
      </c>
      <c r="D10" s="50">
        <v>0.3</v>
      </c>
      <c r="F10" s="48">
        <v>34001</v>
      </c>
      <c r="G10" s="49">
        <f>G9+H9*(F10-F9)</f>
        <v>4200.15</v>
      </c>
      <c r="H10" s="50">
        <v>0.3</v>
      </c>
      <c r="J10" s="48">
        <v>35001</v>
      </c>
      <c r="K10" s="49">
        <f>K9+L9*(J10-J9)</f>
        <v>4350.15</v>
      </c>
      <c r="L10" s="50">
        <v>0.3</v>
      </c>
      <c r="N10" s="48">
        <v>37001</v>
      </c>
      <c r="O10" s="49">
        <f>O9+P9*(N10-N9)</f>
        <v>4650.15</v>
      </c>
      <c r="P10" s="50">
        <v>0.3</v>
      </c>
    </row>
    <row r="11" spans="2:16" ht="12.75">
      <c r="B11" s="48">
        <v>75001</v>
      </c>
      <c r="C11" s="49">
        <f>C10+D10*(B11-B10)</f>
        <v>17100.15</v>
      </c>
      <c r="D11" s="50">
        <v>0.4</v>
      </c>
      <c r="F11" s="48">
        <v>80001</v>
      </c>
      <c r="G11" s="49">
        <f>G10+H10*(F11-F10)</f>
        <v>18000.15</v>
      </c>
      <c r="H11" s="50">
        <v>0.4</v>
      </c>
      <c r="J11" s="48">
        <v>80001</v>
      </c>
      <c r="K11" s="49">
        <f>K10+L10*(J11-J10)</f>
        <v>17850.15</v>
      </c>
      <c r="L11" s="50">
        <v>0.38</v>
      </c>
      <c r="N11" s="48">
        <v>80001</v>
      </c>
      <c r="O11" s="49">
        <f>O10+P10*(N11-N10)</f>
        <v>17550.15</v>
      </c>
      <c r="P11" s="50">
        <v>0.37</v>
      </c>
    </row>
    <row r="12" spans="2:16" ht="13.5" thickBot="1">
      <c r="B12" s="51">
        <v>150001</v>
      </c>
      <c r="C12" s="52">
        <f>C11+D11*(B12-B11)</f>
        <v>47100.15</v>
      </c>
      <c r="D12" s="53">
        <v>0.45</v>
      </c>
      <c r="F12" s="51">
        <v>180001</v>
      </c>
      <c r="G12" s="52">
        <f>G11+H11*(F12-F11)</f>
        <v>58000.15</v>
      </c>
      <c r="H12" s="53">
        <v>0.45</v>
      </c>
      <c r="J12" s="51">
        <v>180001</v>
      </c>
      <c r="K12" s="52">
        <f>K11+L11*(J12-J11)</f>
        <v>55850.15</v>
      </c>
      <c r="L12" s="53">
        <v>0.45</v>
      </c>
      <c r="N12" s="51">
        <v>180001</v>
      </c>
      <c r="O12" s="52">
        <f>O11+P11*(N12-N11)</f>
        <v>54550.15</v>
      </c>
      <c r="P12" s="53">
        <v>0.45</v>
      </c>
    </row>
    <row r="13" spans="2:16" ht="12.75">
      <c r="B13" s="47" t="s">
        <v>13</v>
      </c>
      <c r="C13" s="47" t="s">
        <v>14</v>
      </c>
      <c r="D13" s="54" t="s">
        <v>15</v>
      </c>
      <c r="F13" s="47" t="s">
        <v>13</v>
      </c>
      <c r="G13" s="47" t="s">
        <v>14</v>
      </c>
      <c r="H13" s="54" t="s">
        <v>15</v>
      </c>
      <c r="J13" s="47" t="s">
        <v>13</v>
      </c>
      <c r="K13" s="47" t="s">
        <v>14</v>
      </c>
      <c r="L13" s="54" t="s">
        <v>15</v>
      </c>
      <c r="N13" s="47" t="s">
        <v>13</v>
      </c>
      <c r="O13" s="47" t="s">
        <v>14</v>
      </c>
      <c r="P13" s="54" t="s">
        <v>15</v>
      </c>
    </row>
    <row r="14" spans="1:16" ht="13.5" thickBot="1">
      <c r="A14" s="2"/>
      <c r="B14" s="55">
        <v>11000</v>
      </c>
      <c r="C14" s="55">
        <v>750</v>
      </c>
      <c r="D14" s="55">
        <v>30000</v>
      </c>
      <c r="F14" s="55">
        <v>14000</v>
      </c>
      <c r="G14" s="55">
        <v>1200</v>
      </c>
      <c r="H14" s="55">
        <v>30000</v>
      </c>
      <c r="J14" s="55">
        <v>15000</v>
      </c>
      <c r="K14" s="55">
        <v>1350</v>
      </c>
      <c r="L14" s="55">
        <v>30000</v>
      </c>
      <c r="N14" s="55">
        <v>16000</v>
      </c>
      <c r="O14" s="55">
        <v>1500</v>
      </c>
      <c r="P14" s="55">
        <v>30000</v>
      </c>
    </row>
    <row r="15" spans="2:16" ht="13.5" thickBot="1">
      <c r="B15" s="3"/>
      <c r="C15" s="3"/>
      <c r="D15" s="3"/>
      <c r="F15" s="3"/>
      <c r="G15" s="3"/>
      <c r="H15" s="3"/>
      <c r="J15" s="3"/>
      <c r="K15" s="3"/>
      <c r="L15" s="3"/>
      <c r="N15" s="3"/>
      <c r="O15" s="3"/>
      <c r="P15" s="3"/>
    </row>
    <row r="16" spans="2:16" ht="13.5" thickBot="1">
      <c r="B16" s="4"/>
      <c r="C16" s="5" t="s">
        <v>1</v>
      </c>
      <c r="D16" s="6">
        <f>D18-D17</f>
        <v>39700</v>
      </c>
      <c r="F16" s="4"/>
      <c r="G16" s="5" t="s">
        <v>1</v>
      </c>
      <c r="H16" s="6">
        <f>H18-H17</f>
        <v>39700</v>
      </c>
      <c r="J16" s="4"/>
      <c r="K16" s="5" t="s">
        <v>1</v>
      </c>
      <c r="L16" s="6">
        <f>L18-L17</f>
        <v>39700</v>
      </c>
      <c r="N16" s="4"/>
      <c r="O16" s="5" t="s">
        <v>1</v>
      </c>
      <c r="P16" s="6">
        <f>P18-P17</f>
        <v>39700</v>
      </c>
    </row>
    <row r="17" spans="2:16" ht="13.5" thickBot="1">
      <c r="B17" s="62" t="s">
        <v>0</v>
      </c>
      <c r="C17" s="63">
        <v>0</v>
      </c>
      <c r="D17" s="59">
        <f>D18*C17</f>
        <v>0</v>
      </c>
      <c r="F17" s="62" t="s">
        <v>0</v>
      </c>
      <c r="G17" s="63">
        <v>0</v>
      </c>
      <c r="H17" s="59">
        <f>H18*G17</f>
        <v>0</v>
      </c>
      <c r="J17" s="62" t="s">
        <v>0</v>
      </c>
      <c r="K17" s="63">
        <v>0</v>
      </c>
      <c r="L17" s="59">
        <f>L18*K17</f>
        <v>0</v>
      </c>
      <c r="N17" s="62" t="s">
        <v>0</v>
      </c>
      <c r="O17" s="63">
        <v>0</v>
      </c>
      <c r="P17" s="59">
        <f>P18*O17</f>
        <v>0</v>
      </c>
    </row>
    <row r="18" spans="2:16" ht="13.5" thickBot="1">
      <c r="B18" s="4"/>
      <c r="C18" s="5" t="s">
        <v>16</v>
      </c>
      <c r="D18" s="6">
        <f>$A$4</f>
        <v>39700</v>
      </c>
      <c r="F18" s="4"/>
      <c r="G18" s="5" t="s">
        <v>16</v>
      </c>
      <c r="H18" s="6">
        <f>$A$4</f>
        <v>39700</v>
      </c>
      <c r="J18" s="4"/>
      <c r="K18" s="5" t="s">
        <v>16</v>
      </c>
      <c r="L18" s="6">
        <f>$A$4</f>
        <v>39700</v>
      </c>
      <c r="N18" s="4"/>
      <c r="O18" s="5" t="s">
        <v>16</v>
      </c>
      <c r="P18" s="6">
        <f>$A$4</f>
        <v>39700</v>
      </c>
    </row>
    <row r="19" spans="2:16" ht="12.75">
      <c r="B19" s="9"/>
      <c r="C19" s="10"/>
      <c r="D19" s="7"/>
      <c r="F19" s="9"/>
      <c r="G19" s="10"/>
      <c r="H19" s="7"/>
      <c r="J19" s="9"/>
      <c r="K19" s="10"/>
      <c r="L19" s="7"/>
      <c r="N19" s="9"/>
      <c r="O19" s="10"/>
      <c r="P19" s="7"/>
    </row>
    <row r="20" spans="1:15" ht="12.75">
      <c r="A20" s="60" t="s">
        <v>42</v>
      </c>
      <c r="B20" s="61">
        <v>0.09</v>
      </c>
      <c r="C20" s="59">
        <f>D18*(B20+C17)</f>
        <v>3573</v>
      </c>
      <c r="E20" s="60" t="s">
        <v>42</v>
      </c>
      <c r="F20" s="61">
        <v>0.09</v>
      </c>
      <c r="G20" s="59">
        <f>H18*(F20+G17)</f>
        <v>3573</v>
      </c>
      <c r="I20" s="60" t="s">
        <v>42</v>
      </c>
      <c r="J20" s="61">
        <v>0.09</v>
      </c>
      <c r="K20" s="59">
        <f>L18*(J20+K17)</f>
        <v>3573</v>
      </c>
      <c r="M20" s="60" t="s">
        <v>42</v>
      </c>
      <c r="N20" s="61">
        <v>0.09</v>
      </c>
      <c r="O20" s="59">
        <f>P18*(N20+O17)</f>
        <v>3573</v>
      </c>
    </row>
    <row r="21" spans="1:16" ht="12.75">
      <c r="A21" s="60" t="s">
        <v>43</v>
      </c>
      <c r="B21" s="61">
        <v>0.15</v>
      </c>
      <c r="C21" s="59">
        <f>C20*(1-B21)</f>
        <v>3037.0499999999997</v>
      </c>
      <c r="D21" t="s">
        <v>32</v>
      </c>
      <c r="E21" s="60" t="s">
        <v>43</v>
      </c>
      <c r="F21" s="61">
        <v>0.15</v>
      </c>
      <c r="G21" s="59">
        <f>G20*(1-F21)</f>
        <v>3037.0499999999997</v>
      </c>
      <c r="H21" t="s">
        <v>32</v>
      </c>
      <c r="I21" s="60" t="s">
        <v>43</v>
      </c>
      <c r="J21" s="61">
        <v>0.15</v>
      </c>
      <c r="K21" s="59">
        <f>K20*(1-J21)</f>
        <v>3037.0499999999997</v>
      </c>
      <c r="L21" t="s">
        <v>32</v>
      </c>
      <c r="M21" s="60" t="s">
        <v>43</v>
      </c>
      <c r="N21" s="61">
        <v>0.15</v>
      </c>
      <c r="O21" s="59">
        <f>O20*(1-N21)</f>
        <v>3037.0499999999997</v>
      </c>
      <c r="P21" t="s">
        <v>32</v>
      </c>
    </row>
    <row r="22" spans="1:16" ht="13.5" thickBot="1">
      <c r="A22" s="35"/>
      <c r="B22" s="36" t="s">
        <v>17</v>
      </c>
      <c r="C22" s="37" t="s">
        <v>18</v>
      </c>
      <c r="D22" s="38" t="s">
        <v>19</v>
      </c>
      <c r="E22" s="35"/>
      <c r="F22" s="36" t="s">
        <v>17</v>
      </c>
      <c r="G22" s="37" t="s">
        <v>18</v>
      </c>
      <c r="H22" s="38" t="s">
        <v>19</v>
      </c>
      <c r="I22" s="35"/>
      <c r="J22" s="36" t="s">
        <v>17</v>
      </c>
      <c r="K22" s="37" t="s">
        <v>18</v>
      </c>
      <c r="L22" s="38" t="s">
        <v>19</v>
      </c>
      <c r="M22" s="35"/>
      <c r="N22" s="36" t="s">
        <v>17</v>
      </c>
      <c r="O22" s="37" t="s">
        <v>18</v>
      </c>
      <c r="P22" s="38" t="s">
        <v>19</v>
      </c>
    </row>
    <row r="23" spans="1:16" ht="12.75">
      <c r="A23" s="39" t="s">
        <v>20</v>
      </c>
      <c r="B23" s="40">
        <v>1500</v>
      </c>
      <c r="C23" s="41">
        <v>28980</v>
      </c>
      <c r="D23" s="41">
        <v>58980</v>
      </c>
      <c r="E23" s="39" t="s">
        <v>20</v>
      </c>
      <c r="F23" s="40">
        <v>1500</v>
      </c>
      <c r="G23" s="41">
        <v>28980</v>
      </c>
      <c r="H23" s="41">
        <v>58980</v>
      </c>
      <c r="I23" s="39" t="s">
        <v>20</v>
      </c>
      <c r="J23" s="40">
        <v>1500</v>
      </c>
      <c r="K23" s="41">
        <v>28980</v>
      </c>
      <c r="L23" s="41">
        <v>58980</v>
      </c>
      <c r="M23" s="39" t="s">
        <v>20</v>
      </c>
      <c r="N23" s="40">
        <v>1500</v>
      </c>
      <c r="O23" s="41">
        <v>28980</v>
      </c>
      <c r="P23" s="41">
        <v>58980</v>
      </c>
    </row>
    <row r="24" spans="1:16" ht="12.75">
      <c r="A24" s="42"/>
      <c r="B24" s="43" t="s">
        <v>21</v>
      </c>
      <c r="C24" s="44">
        <f>IF(D16&gt;=D23,0,IF(D16&lt;=C23,1000,(B23-(D16-C23)*0.05)/1.5))</f>
        <v>642.6666666666666</v>
      </c>
      <c r="D24" s="45"/>
      <c r="E24" s="42"/>
      <c r="F24" s="43" t="s">
        <v>21</v>
      </c>
      <c r="G24" s="44">
        <f>IF(H16&gt;=H23,0,IF(H16&lt;=G23,1000,(F23-(H16-G23)*0.05)/1.5))</f>
        <v>642.6666666666666</v>
      </c>
      <c r="H24" s="45"/>
      <c r="I24" s="42"/>
      <c r="J24" s="43" t="s">
        <v>21</v>
      </c>
      <c r="K24" s="44">
        <f>IF(L16&gt;=L23,0,IF(L16&lt;=K23,1000,(J23-(L16-K23)*0.05)/1.5))</f>
        <v>642.6666666666666</v>
      </c>
      <c r="L24" s="45"/>
      <c r="M24" s="42"/>
      <c r="N24" s="43" t="s">
        <v>21</v>
      </c>
      <c r="O24" s="44">
        <f>IF(P16&gt;=P23,0,IF(P16&lt;=O23,1000,(N23-(P16-O23)*0.05)/1.5))</f>
        <v>642.6666666666666</v>
      </c>
      <c r="P24" s="45"/>
    </row>
    <row r="25" spans="1:16" ht="12.75">
      <c r="A25" s="42"/>
      <c r="B25" s="43" t="s">
        <v>22</v>
      </c>
      <c r="C25" s="44">
        <f>IF(D16&gt;=D23,0,IF(D16&lt;=C23,1500,B23-(D16-C23)*0.05))</f>
        <v>964</v>
      </c>
      <c r="D25" s="46"/>
      <c r="E25" s="42"/>
      <c r="F25" s="43" t="s">
        <v>22</v>
      </c>
      <c r="G25" s="44">
        <f>IF(H16&gt;=H23,0,IF(H16&lt;=G23,1500,F23-(H16-G23)*0.05))</f>
        <v>964</v>
      </c>
      <c r="H25" s="46"/>
      <c r="I25" s="42"/>
      <c r="J25" s="43" t="s">
        <v>22</v>
      </c>
      <c r="K25" s="44">
        <f>IF(L16&gt;=L23,0,IF(L16&lt;=K23,1500,J23-(L16-K23)*0.05))</f>
        <v>964</v>
      </c>
      <c r="L25" s="46"/>
      <c r="M25" s="42"/>
      <c r="N25" s="43" t="s">
        <v>22</v>
      </c>
      <c r="O25" s="44">
        <f>IF(P16&gt;=P23,0,IF(P16&lt;=O23,1500,N23-(P16-O23)*0.05))</f>
        <v>964</v>
      </c>
      <c r="P25" s="46"/>
    </row>
    <row r="26" spans="2:16" ht="13.5" thickBot="1">
      <c r="B26" s="9"/>
      <c r="C26" s="10"/>
      <c r="D26" s="8"/>
      <c r="F26" s="9"/>
      <c r="G26" s="10"/>
      <c r="H26" s="8"/>
      <c r="J26" s="9"/>
      <c r="K26" s="10"/>
      <c r="L26" s="8"/>
      <c r="N26" s="9"/>
      <c r="O26" s="10"/>
      <c r="P26" s="8"/>
    </row>
    <row r="27" spans="1:16" ht="12.75">
      <c r="A27" s="34"/>
      <c r="B27" s="24" t="s">
        <v>23</v>
      </c>
      <c r="C27" s="25">
        <f>VLOOKUP(D16,B9:D12,1)</f>
        <v>30001</v>
      </c>
      <c r="D27" s="7"/>
      <c r="E27" s="34"/>
      <c r="F27" s="24" t="s">
        <v>23</v>
      </c>
      <c r="G27" s="25">
        <f>VLOOKUP(H16,F9:H12,1)</f>
        <v>34001</v>
      </c>
      <c r="H27" s="7"/>
      <c r="I27" s="34"/>
      <c r="J27" s="24" t="s">
        <v>23</v>
      </c>
      <c r="K27" s="25">
        <f>VLOOKUP(L16,J9:L12,1)</f>
        <v>35001</v>
      </c>
      <c r="L27" s="7"/>
      <c r="M27" s="34"/>
      <c r="N27" s="24" t="s">
        <v>23</v>
      </c>
      <c r="O27" s="25">
        <f>VLOOKUP(P16,N9:P12,1)</f>
        <v>37001</v>
      </c>
      <c r="P27" s="7"/>
    </row>
    <row r="28" spans="1:16" ht="12.75">
      <c r="A28" s="34"/>
      <c r="B28" s="26" t="s">
        <v>24</v>
      </c>
      <c r="C28" s="27">
        <f>VLOOKUP(D16,B9:D12,2)</f>
        <v>3600.15</v>
      </c>
      <c r="D28" s="7"/>
      <c r="E28" s="34"/>
      <c r="F28" s="26" t="s">
        <v>24</v>
      </c>
      <c r="G28" s="27">
        <f>VLOOKUP(H16,F9:H12,2)</f>
        <v>4200.15</v>
      </c>
      <c r="H28" s="7"/>
      <c r="I28" s="34"/>
      <c r="J28" s="26" t="s">
        <v>24</v>
      </c>
      <c r="K28" s="27">
        <f>VLOOKUP(L16,J9:L12,2)</f>
        <v>4350.15</v>
      </c>
      <c r="L28" s="7"/>
      <c r="M28" s="34"/>
      <c r="N28" s="26" t="s">
        <v>24</v>
      </c>
      <c r="O28" s="27">
        <f>VLOOKUP(P16,N9:P12,2)</f>
        <v>4650.15</v>
      </c>
      <c r="P28" s="7"/>
    </row>
    <row r="29" spans="1:16" ht="13.5" thickBot="1">
      <c r="A29" s="34"/>
      <c r="B29" s="28" t="s">
        <v>25</v>
      </c>
      <c r="C29" s="29">
        <f>VLOOKUP(D16,B9:D12,3)</f>
        <v>0.3</v>
      </c>
      <c r="D29" s="7"/>
      <c r="E29" s="34"/>
      <c r="F29" s="28" t="s">
        <v>25</v>
      </c>
      <c r="G29" s="29">
        <f>VLOOKUP(H16,F9:H12,3)</f>
        <v>0.3</v>
      </c>
      <c r="H29" s="7"/>
      <c r="I29" s="34"/>
      <c r="J29" s="28" t="s">
        <v>25</v>
      </c>
      <c r="K29" s="29">
        <f>VLOOKUP(L16,J9:L12,3)</f>
        <v>0.3</v>
      </c>
      <c r="L29" s="7"/>
      <c r="M29" s="34"/>
      <c r="N29" s="28" t="s">
        <v>25</v>
      </c>
      <c r="O29" s="29">
        <f>VLOOKUP(P16,N9:P12,3)</f>
        <v>0.3</v>
      </c>
      <c r="P29" s="7"/>
    </row>
    <row r="30" spans="1:16" ht="13.5" thickBot="1">
      <c r="A30" s="34"/>
      <c r="B30" s="30" t="s">
        <v>26</v>
      </c>
      <c r="C30" s="31">
        <f>C28+(D16-C27)*C29</f>
        <v>6509.85</v>
      </c>
      <c r="D30" s="7"/>
      <c r="E30" s="34"/>
      <c r="F30" s="30" t="s">
        <v>26</v>
      </c>
      <c r="G30" s="31">
        <f>G28+(H16-G27)*G29</f>
        <v>5909.849999999999</v>
      </c>
      <c r="H30" s="7"/>
      <c r="I30" s="34"/>
      <c r="J30" s="30" t="s">
        <v>26</v>
      </c>
      <c r="K30" s="31">
        <f>K28+(L16-K27)*K29</f>
        <v>5759.849999999999</v>
      </c>
      <c r="L30" s="7"/>
      <c r="M30" s="34"/>
      <c r="N30" s="30" t="s">
        <v>26</v>
      </c>
      <c r="O30" s="31">
        <f>O28+(P16-O27)*O29</f>
        <v>5459.849999999999</v>
      </c>
      <c r="P30" s="7"/>
    </row>
    <row r="31" spans="1:16" ht="13.5" thickBot="1">
      <c r="A31" s="34"/>
      <c r="B31" s="30" t="s">
        <v>27</v>
      </c>
      <c r="C31" s="32">
        <f>IF(D16&lt;D14,C14,(IF((C14-(D16-D14-1)/25)&lt;=0,0,C14-(D16-D14-1)/25)))</f>
        <v>362.04</v>
      </c>
      <c r="D31" s="7"/>
      <c r="E31" s="34"/>
      <c r="F31" s="30" t="s">
        <v>27</v>
      </c>
      <c r="G31" s="32">
        <f>IF(H16&lt;H14,G14,(IF((G14-(H16-H14-1)/25)&lt;=0,0,G14-(H16-H14-1)/25)))</f>
        <v>812.04</v>
      </c>
      <c r="H31" s="7"/>
      <c r="I31" s="34"/>
      <c r="J31" s="30" t="s">
        <v>27</v>
      </c>
      <c r="K31" s="32">
        <f>IF(L16&lt;L14,K14,(IF((K14-(L16-L14-1)/25)&lt;=0,0,K14-(L16-L14-1)/25)))</f>
        <v>962.04</v>
      </c>
      <c r="L31" s="7"/>
      <c r="M31" s="34"/>
      <c r="N31" s="30" t="s">
        <v>27</v>
      </c>
      <c r="O31" s="32">
        <f>IF(P16&lt;P14,O14,(IF((O14-(P16-P14-1)/25)&lt;=0,0,O14-(P16-P14-1)/25)))</f>
        <v>1112.04</v>
      </c>
      <c r="P31" s="7"/>
    </row>
    <row r="32" spans="1:16" ht="13.5" thickBot="1">
      <c r="A32" s="34"/>
      <c r="B32" s="30" t="s">
        <v>51</v>
      </c>
      <c r="C32" s="72">
        <f>C30-C31+$A$4*0.015</f>
        <v>6743.31</v>
      </c>
      <c r="D32" s="7"/>
      <c r="E32" s="34"/>
      <c r="F32" s="30" t="s">
        <v>51</v>
      </c>
      <c r="G32" s="72">
        <f>G30-G31+$A$4*0.015</f>
        <v>5693.3099999999995</v>
      </c>
      <c r="H32" s="7"/>
      <c r="I32" s="34"/>
      <c r="J32" s="30" t="s">
        <v>51</v>
      </c>
      <c r="K32" s="72">
        <f>K30-K31+$A$4*0.015</f>
        <v>5393.3099999999995</v>
      </c>
      <c r="L32" s="7"/>
      <c r="M32" s="34"/>
      <c r="N32" s="30" t="s">
        <v>51</v>
      </c>
      <c r="O32" s="72">
        <f>O30-O31+$A$4*0.015</f>
        <v>4943.3099999999995</v>
      </c>
      <c r="P32" s="7"/>
    </row>
    <row r="33" spans="1:16" ht="13.5" thickBot="1">
      <c r="A33" s="34"/>
      <c r="B33" s="30" t="s">
        <v>52</v>
      </c>
      <c r="C33" s="33">
        <f>$A$5-C32</f>
        <v>2256.6899999999996</v>
      </c>
      <c r="D33" s="7"/>
      <c r="E33" s="34"/>
      <c r="F33" s="30" t="s">
        <v>52</v>
      </c>
      <c r="G33" s="33">
        <f>$A$5-G32</f>
        <v>3306.6900000000005</v>
      </c>
      <c r="H33" s="7"/>
      <c r="I33" s="34"/>
      <c r="J33" s="30" t="s">
        <v>52</v>
      </c>
      <c r="K33" s="33">
        <f>$A$5-K32</f>
        <v>3606.6900000000005</v>
      </c>
      <c r="L33" s="7"/>
      <c r="M33" s="34"/>
      <c r="N33" s="30" t="s">
        <v>52</v>
      </c>
      <c r="O33" s="33">
        <f>$A$5-O32</f>
        <v>4056.6900000000005</v>
      </c>
      <c r="P33" s="7"/>
    </row>
    <row r="34" spans="2:16" ht="13.5" thickBot="1">
      <c r="B34" s="11"/>
      <c r="C34" s="12"/>
      <c r="D34" s="7"/>
      <c r="F34" s="11"/>
      <c r="G34" s="12"/>
      <c r="H34" s="7"/>
      <c r="J34" s="11"/>
      <c r="K34" s="12"/>
      <c r="L34" s="7"/>
      <c r="N34" s="11"/>
      <c r="O34" s="12"/>
      <c r="P34" s="7"/>
    </row>
    <row r="35" spans="1:16" ht="12.75">
      <c r="A35" s="56" t="s">
        <v>35</v>
      </c>
      <c r="B35" s="15" t="s">
        <v>28</v>
      </c>
      <c r="C35" s="16"/>
      <c r="D35" s="7"/>
      <c r="E35" s="56" t="s">
        <v>35</v>
      </c>
      <c r="F35" s="15" t="s">
        <v>28</v>
      </c>
      <c r="G35" s="16"/>
      <c r="H35" s="7"/>
      <c r="I35" s="56" t="s">
        <v>35</v>
      </c>
      <c r="J35" s="15" t="s">
        <v>28</v>
      </c>
      <c r="K35" s="16"/>
      <c r="L35" s="7"/>
      <c r="M35" s="56" t="s">
        <v>35</v>
      </c>
      <c r="N35" s="15" t="s">
        <v>28</v>
      </c>
      <c r="O35" s="16"/>
      <c r="P35" s="7"/>
    </row>
    <row r="36" spans="1:16" ht="12.75">
      <c r="A36" s="57">
        <f>C32/(D16-C32)</f>
        <v>0.20461126405594737</v>
      </c>
      <c r="B36" s="17">
        <f>D16-C32</f>
        <v>32956.69</v>
      </c>
      <c r="C36" s="18" t="s">
        <v>29</v>
      </c>
      <c r="D36" s="7"/>
      <c r="E36" s="57">
        <f>G32/(H16-G32)</f>
        <v>0.1674173522915638</v>
      </c>
      <c r="F36" s="17">
        <f>H16-G32</f>
        <v>34006.69</v>
      </c>
      <c r="G36" s="18" t="s">
        <v>29</v>
      </c>
      <c r="H36" s="7"/>
      <c r="I36" s="57">
        <f>K32/(L16-K32)</f>
        <v>0.1572086960298414</v>
      </c>
      <c r="J36" s="17">
        <f>L16-K32</f>
        <v>34306.69</v>
      </c>
      <c r="K36" s="18" t="s">
        <v>29</v>
      </c>
      <c r="L36" s="7"/>
      <c r="M36" s="57">
        <f>O32/(P16-O32)</f>
        <v>0.14222614408909476</v>
      </c>
      <c r="N36" s="17">
        <f>P16-O32</f>
        <v>34756.69</v>
      </c>
      <c r="O36" s="18" t="s">
        <v>29</v>
      </c>
      <c r="P36" s="7"/>
    </row>
    <row r="37" spans="1:16" ht="12.75">
      <c r="A37" s="57"/>
      <c r="B37" s="19">
        <f>B36/52</f>
        <v>633.7825</v>
      </c>
      <c r="C37" s="18" t="s">
        <v>30</v>
      </c>
      <c r="D37" s="7"/>
      <c r="F37" s="19">
        <f>F36/52</f>
        <v>653.9748076923078</v>
      </c>
      <c r="G37" s="18" t="s">
        <v>30</v>
      </c>
      <c r="H37" s="7"/>
      <c r="J37" s="19">
        <f>J36/52</f>
        <v>659.7440384615385</v>
      </c>
      <c r="K37" s="18" t="s">
        <v>30</v>
      </c>
      <c r="L37" s="7"/>
      <c r="N37" s="19">
        <f>N36/52</f>
        <v>668.3978846153847</v>
      </c>
      <c r="O37" s="18" t="s">
        <v>30</v>
      </c>
      <c r="P37" s="7"/>
    </row>
    <row r="38" spans="1:16" ht="12.75">
      <c r="A38" s="58"/>
      <c r="E38" s="13"/>
      <c r="F38" s="20">
        <f>F37-B37</f>
        <v>20.192307692307736</v>
      </c>
      <c r="G38" s="21" t="s">
        <v>31</v>
      </c>
      <c r="H38" s="13"/>
      <c r="I38" s="13"/>
      <c r="J38" s="20">
        <f>J37-F37</f>
        <v>5.769230769230717</v>
      </c>
      <c r="K38" s="21" t="s">
        <v>31</v>
      </c>
      <c r="L38" s="13"/>
      <c r="M38" s="13"/>
      <c r="N38" s="20">
        <f>N37-J37</f>
        <v>8.653846153846189</v>
      </c>
      <c r="O38" s="21" t="s">
        <v>31</v>
      </c>
      <c r="P38" s="13"/>
    </row>
    <row r="39" spans="5:16" ht="12.75">
      <c r="E39" s="13"/>
      <c r="F39" s="22">
        <f>F38+J38+N38</f>
        <v>34.61538461538464</v>
      </c>
      <c r="G39" s="23" t="s">
        <v>34</v>
      </c>
      <c r="P39" s="13"/>
    </row>
    <row r="40" ht="12.75">
      <c r="A40" t="s">
        <v>36</v>
      </c>
    </row>
    <row r="41" ht="12.75">
      <c r="A41" t="s">
        <v>37</v>
      </c>
    </row>
    <row r="42" ht="12.75">
      <c r="A42" t="s">
        <v>40</v>
      </c>
    </row>
    <row r="43" ht="12.75">
      <c r="A43" t="s">
        <v>44</v>
      </c>
    </row>
    <row r="44" ht="12.75">
      <c r="A44" t="s">
        <v>5</v>
      </c>
    </row>
    <row r="45" ht="12.75">
      <c r="A45" t="s">
        <v>41</v>
      </c>
    </row>
    <row r="46" ht="12.75">
      <c r="A46" t="s">
        <v>3</v>
      </c>
    </row>
    <row r="47" ht="12.75">
      <c r="A47" t="s">
        <v>39</v>
      </c>
    </row>
    <row r="48" ht="12.75">
      <c r="A48" t="s">
        <v>45</v>
      </c>
    </row>
  </sheetData>
  <hyperlinks>
    <hyperlink ref="J1" r:id="rId1" display="http://www.budget.gov.au/2008-09/content/overview2/html/overview_01.htm"/>
  </hyperlinks>
  <printOptions/>
  <pageMargins left="0.75" right="0.75" top="1" bottom="1" header="0.5" footer="0.5"/>
  <pageSetup horizontalDpi="600" verticalDpi="600" orientation="portrait" paperSize="9" r:id="rId2"/>
  <ignoredErrors>
    <ignoredError sqref="D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Tax_Calculator</dc:title>
  <dc:subject>Australian Tax Calculator</dc:subject>
  <dc:creator>Paul McGaughey</dc:creator>
  <cp:keywords/>
  <dc:description>2008-2009 thru 2010-2011 Australian Tax Calculator
Includes Calculations for Low Income Tax Offset and Super Co-contribution</dc:description>
  <cp:lastModifiedBy>Paul McGaughey</cp:lastModifiedBy>
  <dcterms:created xsi:type="dcterms:W3CDTF">2008-05-15T01:17:29Z</dcterms:created>
  <dcterms:modified xsi:type="dcterms:W3CDTF">2008-07-11T03:58:22Z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